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3715" windowHeight="9855"/>
  </bookViews>
  <sheets>
    <sheet name="【熊本市】水道料金等シミュレーション" sheetId="1" r:id="rId1"/>
  </sheets>
  <definedNames>
    <definedName name="_xlnm.Print_Area" localSheetId="0">【熊本市】水道料金等シミュレーション!$A$1:$AD$29</definedName>
  </definedNames>
  <calcPr calcId="145621"/>
</workbook>
</file>

<file path=xl/calcChain.xml><?xml version="1.0" encoding="utf-8"?>
<calcChain xmlns="http://schemas.openxmlformats.org/spreadsheetml/2006/main">
  <c r="AB14" i="1" l="1"/>
  <c r="AB13" i="1"/>
  <c r="AB12" i="1"/>
  <c r="AB11" i="1"/>
  <c r="AB10" i="1"/>
  <c r="V13" i="1"/>
  <c r="Y14" i="1" s="1"/>
  <c r="V12" i="1"/>
  <c r="Y13" i="1" s="1"/>
  <c r="V11" i="1"/>
  <c r="V10" i="1"/>
  <c r="T14" i="1"/>
  <c r="T13" i="1"/>
  <c r="Y18" i="1"/>
  <c r="T22" i="1"/>
  <c r="T23" i="1"/>
  <c r="T24" i="1"/>
  <c r="T25" i="1"/>
  <c r="T26" i="1"/>
  <c r="T27" i="1"/>
  <c r="T28" i="1"/>
  <c r="V22" i="1"/>
  <c r="V23" i="1"/>
  <c r="V24" i="1"/>
  <c r="V25" i="1"/>
  <c r="V26" i="1"/>
  <c r="V27" i="1"/>
  <c r="V28" i="1"/>
  <c r="T12" i="1"/>
  <c r="T11" i="1"/>
  <c r="T10" i="1"/>
  <c r="Y6" i="1"/>
  <c r="Y10" i="1" l="1"/>
  <c r="Y11" i="1"/>
  <c r="Y12" i="1"/>
  <c r="AB28" i="1"/>
  <c r="AB27" i="1"/>
  <c r="AB26" i="1"/>
  <c r="AB25" i="1"/>
  <c r="Y25" i="1" s="1"/>
  <c r="AB24" i="1"/>
  <c r="AB23" i="1"/>
  <c r="Y23" i="1" s="1"/>
  <c r="AB22" i="1"/>
  <c r="Y22" i="1" s="1"/>
  <c r="Y28" i="1"/>
  <c r="Y27" i="1"/>
  <c r="Y26" i="1"/>
  <c r="Y8" i="1" l="1"/>
  <c r="H16" i="1" s="1"/>
  <c r="Y24" i="1"/>
  <c r="Y20" i="1" s="1"/>
  <c r="H18" i="1" s="1"/>
  <c r="H20" i="1" l="1"/>
</calcChain>
</file>

<file path=xl/comments1.xml><?xml version="1.0" encoding="utf-8"?>
<comments xmlns="http://schemas.openxmlformats.org/spreadsheetml/2006/main">
  <authors>
    <author>熊本市上下水道局</author>
  </authors>
  <commentList>
    <comment ref="F6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
（水道のご使用が無い場合は空白のままにしてください）</t>
        </r>
      </text>
    </comment>
    <comment ref="L6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F11" authorId="0">
      <text>
        <r>
          <rPr>
            <sz val="9"/>
            <color indexed="81"/>
            <rFont val="ＭＳ Ｐゴシック"/>
            <family val="3"/>
            <charset val="128"/>
          </rPr>
          <t>1ヶ月あたりの使用水量を入力してください</t>
        </r>
      </text>
    </comment>
  </commentList>
</comments>
</file>

<file path=xl/sharedStrings.xml><?xml version="1.0" encoding="utf-8"?>
<sst xmlns="http://schemas.openxmlformats.org/spreadsheetml/2006/main" count="162" uniqueCount="56">
  <si>
    <t>あり</t>
    <phoneticPr fontId="1"/>
  </si>
  <si>
    <t>なし</t>
    <phoneticPr fontId="1"/>
  </si>
  <si>
    <t>㎥</t>
    <phoneticPr fontId="1"/>
  </si>
  <si>
    <t>水道料金</t>
    <rPh sb="0" eb="2">
      <t>スイドウ</t>
    </rPh>
    <rPh sb="2" eb="4">
      <t>リョウキン</t>
    </rPh>
    <phoneticPr fontId="1"/>
  </si>
  <si>
    <t>円</t>
    <rPh sb="0" eb="1">
      <t>エン</t>
    </rPh>
    <phoneticPr fontId="1"/>
  </si>
  <si>
    <t>基本料金</t>
    <rPh sb="0" eb="2">
      <t>キホン</t>
    </rPh>
    <rPh sb="2" eb="4">
      <t>リョウキン</t>
    </rPh>
    <phoneticPr fontId="1"/>
  </si>
  <si>
    <t>第1段</t>
    <rPh sb="0" eb="1">
      <t>ダイ</t>
    </rPh>
    <rPh sb="2" eb="3">
      <t>ダン</t>
    </rPh>
    <phoneticPr fontId="1"/>
  </si>
  <si>
    <t>第2段</t>
    <rPh sb="0" eb="1">
      <t>ダイ</t>
    </rPh>
    <rPh sb="2" eb="3">
      <t>ダン</t>
    </rPh>
    <phoneticPr fontId="1"/>
  </si>
  <si>
    <t>第3段</t>
    <rPh sb="0" eb="1">
      <t>ダイ</t>
    </rPh>
    <rPh sb="2" eb="3">
      <t>ダン</t>
    </rPh>
    <phoneticPr fontId="1"/>
  </si>
  <si>
    <t>第4段</t>
    <rPh sb="0" eb="1">
      <t>ダイ</t>
    </rPh>
    <rPh sb="2" eb="3">
      <t>ダン</t>
    </rPh>
    <phoneticPr fontId="1"/>
  </si>
  <si>
    <t>第5段</t>
    <rPh sb="0" eb="1">
      <t>ダイ</t>
    </rPh>
    <rPh sb="2" eb="3">
      <t>ダン</t>
    </rPh>
    <phoneticPr fontId="1"/>
  </si>
  <si>
    <t>(</t>
    <phoneticPr fontId="1"/>
  </si>
  <si>
    <t>㎥～</t>
    <phoneticPr fontId="1"/>
  </si>
  <si>
    <t>㎥部分）</t>
    <rPh sb="1" eb="3">
      <t>ブブン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</si>
  <si>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</si>
  <si>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</si>
  <si>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</si>
  <si>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下水道使用料</t>
    <rPh sb="0" eb="3">
      <t>ゲスイドウ</t>
    </rPh>
    <rPh sb="3" eb="6">
      <t>シヨウリョウ</t>
    </rPh>
    <phoneticPr fontId="1"/>
  </si>
  <si>
    <t>うち第1段階</t>
    <rPh sb="2" eb="3">
      <t>ダイ</t>
    </rPh>
    <rPh sb="4" eb="6">
      <t>ダンカイ</t>
    </rPh>
    <phoneticPr fontId="1"/>
  </si>
  <si>
    <t>うち第2段階</t>
    <rPh sb="2" eb="3">
      <t>ダイ</t>
    </rPh>
    <rPh sb="4" eb="6">
      <t>ダンカイ</t>
    </rPh>
    <phoneticPr fontId="1"/>
  </si>
  <si>
    <t>うち第3段階</t>
    <rPh sb="2" eb="3">
      <t>ダイ</t>
    </rPh>
    <rPh sb="4" eb="6">
      <t>ダンカイ</t>
    </rPh>
    <phoneticPr fontId="1"/>
  </si>
  <si>
    <t>うち第4段階</t>
    <rPh sb="2" eb="3">
      <t>ダイ</t>
    </rPh>
    <rPh sb="4" eb="6">
      <t>ダンカイ</t>
    </rPh>
    <phoneticPr fontId="1"/>
  </si>
  <si>
    <t>うち第5段階</t>
    <rPh sb="2" eb="3">
      <t>ダイ</t>
    </rPh>
    <rPh sb="4" eb="6">
      <t>ダンカイ</t>
    </rPh>
    <phoneticPr fontId="1"/>
  </si>
  <si>
    <t>うち第6段階</t>
    <rPh sb="2" eb="3">
      <t>ダイ</t>
    </rPh>
    <rPh sb="4" eb="6">
      <t>ダンカイ</t>
    </rPh>
    <phoneticPr fontId="1"/>
  </si>
  <si>
    <t>口径等</t>
    <rPh sb="0" eb="2">
      <t>コウケイ</t>
    </rPh>
    <rPh sb="2" eb="3">
      <t>トウ</t>
    </rPh>
    <phoneticPr fontId="1"/>
  </si>
  <si>
    <t>第6段</t>
    <rPh sb="0" eb="1">
      <t>ダイ</t>
    </rPh>
    <rPh sb="2" eb="3">
      <t>ダン</t>
    </rPh>
    <phoneticPr fontId="1"/>
  </si>
  <si>
    <t>第7段</t>
    <rPh sb="0" eb="1">
      <t>ダイ</t>
    </rPh>
    <rPh sb="2" eb="3">
      <t>ダン</t>
    </rPh>
    <phoneticPr fontId="1"/>
  </si>
  <si>
    <t>（水道料金の内訳）</t>
    <rPh sb="1" eb="3">
      <t>スイドウ</t>
    </rPh>
    <rPh sb="3" eb="5">
      <t>リョウキン</t>
    </rPh>
    <rPh sb="6" eb="8">
      <t>ウチワケ</t>
    </rPh>
    <phoneticPr fontId="1"/>
  </si>
  <si>
    <t>（下水道使用料の内訳）</t>
    <rPh sb="1" eb="4">
      <t>ゲスイドウ</t>
    </rPh>
    <rPh sb="4" eb="7">
      <t>シヨウリョウ</t>
    </rPh>
    <rPh sb="8" eb="10">
      <t>ウチワケ</t>
    </rPh>
    <phoneticPr fontId="1"/>
  </si>
  <si>
    <t>うち第7段階</t>
    <rPh sb="2" eb="3">
      <t>ダイ</t>
    </rPh>
    <rPh sb="4" eb="6">
      <t>ダンカイ</t>
    </rPh>
    <phoneticPr fontId="1"/>
  </si>
  <si>
    <t xml:space="preserve"> </t>
    <phoneticPr fontId="1"/>
  </si>
  <si>
    <t xml:space="preserve"> </t>
    <phoneticPr fontId="1"/>
  </si>
  <si>
    <t>（料金単価）</t>
    <rPh sb="1" eb="3">
      <t>リョウキン</t>
    </rPh>
    <rPh sb="3" eb="5">
      <t>タンカ</t>
    </rPh>
    <phoneticPr fontId="1"/>
  </si>
  <si>
    <t>円/㎥</t>
    <rPh sb="0" eb="1">
      <t>エン</t>
    </rPh>
    <phoneticPr fontId="1"/>
  </si>
  <si>
    <t>（使用料単価）</t>
    <rPh sb="1" eb="4">
      <t>シヨウリョウ</t>
    </rPh>
    <rPh sb="4" eb="6">
      <t>タンカ</t>
    </rPh>
    <phoneticPr fontId="1"/>
  </si>
  <si>
    <t>シミュレーション結果</t>
    <rPh sb="8" eb="10">
      <t>ケッカ</t>
    </rPh>
    <phoneticPr fontId="1"/>
  </si>
  <si>
    <t>　従量料金</t>
    <rPh sb="1" eb="3">
      <t>ジュウリョウ</t>
    </rPh>
    <rPh sb="3" eb="5">
      <t>リョウキン</t>
    </rPh>
    <phoneticPr fontId="1"/>
  </si>
  <si>
    <t>　基本料金</t>
    <rPh sb="1" eb="3">
      <t>キホン</t>
    </rPh>
    <rPh sb="3" eb="5">
      <t>リョウキン</t>
    </rPh>
    <phoneticPr fontId="1"/>
  </si>
  <si>
    <t>　基本使用料</t>
    <rPh sb="1" eb="3">
      <t>キホン</t>
    </rPh>
    <rPh sb="3" eb="6">
      <t>シヨウリョウ</t>
    </rPh>
    <phoneticPr fontId="1"/>
  </si>
  <si>
    <t>　従量使用料</t>
    <rPh sb="1" eb="3">
      <t>ジュウリョウ</t>
    </rPh>
    <rPh sb="3" eb="6">
      <t>シヨウリョウ</t>
    </rPh>
    <phoneticPr fontId="1"/>
  </si>
  <si>
    <t>mm</t>
    <phoneticPr fontId="1"/>
  </si>
  <si>
    <t>　以下の項目に条件を入力してください</t>
    <rPh sb="1" eb="3">
      <t>イカ</t>
    </rPh>
    <rPh sb="4" eb="6">
      <t>コウモク</t>
    </rPh>
    <rPh sb="7" eb="9">
      <t>ジョウケン</t>
    </rPh>
    <rPh sb="10" eb="12">
      <t>ニュウリョク</t>
    </rPh>
    <phoneticPr fontId="1"/>
  </si>
  <si>
    <t>２　使用水量の入力</t>
    <rPh sb="2" eb="4">
      <t>シヨウ</t>
    </rPh>
    <rPh sb="4" eb="6">
      <t>スイリョウ</t>
    </rPh>
    <rPh sb="7" eb="9">
      <t>ニュウリョク</t>
    </rPh>
    <phoneticPr fontId="1"/>
  </si>
  <si>
    <t>　計算したい使用水量（1ヶ月分）を入力してください</t>
    <rPh sb="1" eb="3">
      <t>ケイサン</t>
    </rPh>
    <rPh sb="6" eb="8">
      <t>シヨウ</t>
    </rPh>
    <rPh sb="8" eb="10">
      <t>スイリョウ</t>
    </rPh>
    <rPh sb="13" eb="14">
      <t>ゲツ</t>
    </rPh>
    <rPh sb="14" eb="15">
      <t>フン</t>
    </rPh>
    <rPh sb="17" eb="19">
      <t>ニュウリョク</t>
    </rPh>
    <phoneticPr fontId="1"/>
  </si>
  <si>
    <t>下水道の使用　</t>
    <rPh sb="0" eb="3">
      <t>ゲスイドウ</t>
    </rPh>
    <rPh sb="4" eb="6">
      <t>シヨウ</t>
    </rPh>
    <phoneticPr fontId="1"/>
  </si>
  <si>
    <t>（合計）</t>
    <rPh sb="1" eb="3">
      <t>ゴウケイ</t>
    </rPh>
    <phoneticPr fontId="1"/>
  </si>
  <si>
    <t>（内訳　右記のとおり）</t>
    <rPh sb="1" eb="3">
      <t>ウチワケ</t>
    </rPh>
    <rPh sb="4" eb="6">
      <t>ウキ</t>
    </rPh>
    <phoneticPr fontId="1"/>
  </si>
  <si>
    <t>熊本市　水道料金・下水道使用料シミュレーション（一般用）</t>
    <rPh sb="0" eb="3">
      <t>クマモトシ</t>
    </rPh>
    <rPh sb="4" eb="6">
      <t>スイドウ</t>
    </rPh>
    <rPh sb="6" eb="8">
      <t>リョウキン</t>
    </rPh>
    <rPh sb="9" eb="12">
      <t>ゲスイドウ</t>
    </rPh>
    <rPh sb="12" eb="15">
      <t>シヨウリョウ</t>
    </rPh>
    <rPh sb="24" eb="27">
      <t>イッパンヨウ</t>
    </rPh>
    <phoneticPr fontId="1"/>
  </si>
  <si>
    <t>※ 0～99999の範囲で入力が可能です</t>
    <rPh sb="10" eb="12">
      <t>ハンイ</t>
    </rPh>
    <rPh sb="13" eb="15">
      <t>ニュウリョク</t>
    </rPh>
    <rPh sb="16" eb="18">
      <t>カノウ</t>
    </rPh>
    <phoneticPr fontId="1"/>
  </si>
  <si>
    <t>　※ 1円未満は切捨てとなります。</t>
    <rPh sb="4" eb="5">
      <t>エン</t>
    </rPh>
    <rPh sb="5" eb="7">
      <t>ミマン</t>
    </rPh>
    <rPh sb="8" eb="10">
      <t>キリス</t>
    </rPh>
    <phoneticPr fontId="1"/>
  </si>
  <si>
    <t>適用料金：令和元年（2019年）10月施行分　</t>
    <rPh sb="0" eb="2">
      <t>テキヨウ</t>
    </rPh>
    <rPh sb="2" eb="4">
      <t>リョウキン</t>
    </rPh>
    <rPh sb="5" eb="7">
      <t>レイワ</t>
    </rPh>
    <rPh sb="7" eb="9">
      <t>ガンネン</t>
    </rPh>
    <rPh sb="14" eb="15">
      <t>ネン</t>
    </rPh>
    <rPh sb="18" eb="19">
      <t>ガツ</t>
    </rPh>
    <rPh sb="19" eb="21">
      <t>セコウ</t>
    </rPh>
    <rPh sb="21" eb="22">
      <t>ブン</t>
    </rPh>
    <phoneticPr fontId="1"/>
  </si>
  <si>
    <t>１　条件の入力</t>
    <rPh sb="2" eb="4">
      <t>ジョウケン</t>
    </rPh>
    <rPh sb="5" eb="7">
      <t>ニュウリョク</t>
    </rPh>
    <phoneticPr fontId="1"/>
  </si>
  <si>
    <t>　　異なります。</t>
  </si>
  <si>
    <t>　※ 1ヶ月未満のご使用による日割り計算等、特殊な計算を要する場合は上記の金額とは</t>
    <rPh sb="5" eb="6">
      <t>ゲツ</t>
    </rPh>
    <rPh sb="6" eb="8">
      <t>ミマン</t>
    </rPh>
    <rPh sb="10" eb="12">
      <t>シヨウ</t>
    </rPh>
    <rPh sb="15" eb="17">
      <t>ヒワ</t>
    </rPh>
    <rPh sb="18" eb="20">
      <t>ケイサン</t>
    </rPh>
    <rPh sb="20" eb="21">
      <t>トウ</t>
    </rPh>
    <rPh sb="22" eb="24">
      <t>トクシュ</t>
    </rPh>
    <rPh sb="25" eb="27">
      <t>ケイサン</t>
    </rPh>
    <rPh sb="28" eb="29">
      <t>ヨウ</t>
    </rPh>
    <rPh sb="31" eb="33">
      <t>バアイ</t>
    </rPh>
    <rPh sb="34" eb="36">
      <t>ジョウキ</t>
    </rPh>
    <rPh sb="37" eb="39">
      <t>キンガク</t>
    </rPh>
    <phoneticPr fontId="1"/>
  </si>
  <si>
    <t>使用水量・排除汚水量
(㎥)　</t>
    <rPh sb="0" eb="2">
      <t>シヨウ</t>
    </rPh>
    <rPh sb="2" eb="4">
      <t>スイリョウ</t>
    </rPh>
    <rPh sb="5" eb="7">
      <t>ハイジョ</t>
    </rPh>
    <rPh sb="7" eb="9">
      <t>オスイ</t>
    </rPh>
    <rPh sb="9" eb="10">
      <t>リョウ</t>
    </rPh>
    <phoneticPr fontId="1"/>
  </si>
  <si>
    <t>口径(mm)　</t>
    <rPh sb="0" eb="2">
      <t>コウケイ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</si>
</sst>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#,##0.00_ "/>
    <numFmt numFmtId="179" formatCode="#,##0.00_);[Red]\(#,##0.00\)"/>
    <numFmt numFmtId="180" formatCode="#,###&quot; 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179" fontId="2" fillId="3" borderId="0" xfId="0" applyNumberFormat="1" applyFont="1" applyFill="1">
      <alignment vertical="center"/>
    </xf>
    <xf numFmtId="178" fontId="2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179" fontId="2" fillId="5" borderId="0" xfId="0" applyNumberFormat="1" applyFont="1" applyFill="1">
      <alignment vertical="center"/>
    </xf>
    <xf numFmtId="178" fontId="2" fillId="5" borderId="0" xfId="0" applyNumberFormat="1" applyFont="1" applyFill="1" applyAlignment="1">
      <alignment horizontal="right" vertical="center"/>
    </xf>
    <xf numFmtId="178" fontId="4" fillId="5" borderId="0" xfId="0" applyNumberFormat="1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9" fontId="3" fillId="3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179" fontId="3" fillId="5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179" fontId="2" fillId="3" borderId="0" xfId="0" applyNumberFormat="1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0" xfId="0" applyFont="1" applyFill="1" applyBorder="1" applyAlignment="1">
      <alignment horizontal="center" vertical="center"/>
    </xf>
    <xf numFmtId="179" fontId="2" fillId="5" borderId="0" xfId="0" applyNumberFormat="1" applyFont="1" applyFill="1" applyBorder="1">
      <alignment vertical="center"/>
    </xf>
    <xf numFmtId="0" fontId="2" fillId="7" borderId="0" xfId="0" applyFont="1" applyFill="1">
      <alignment vertical="center"/>
    </xf>
    <xf numFmtId="0" fontId="2" fillId="7" borderId="0" xfId="0" applyFont="1" applyFill="1" applyAlignment="1">
      <alignment horizontal="center" vertical="center"/>
    </xf>
    <xf numFmtId="179" fontId="2" fillId="7" borderId="0" xfId="0" applyNumberFormat="1" applyFont="1" applyFill="1">
      <alignment vertical="center"/>
    </xf>
    <xf numFmtId="178" fontId="2" fillId="7" borderId="0" xfId="0" applyNumberFormat="1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2" fillId="7" borderId="0" xfId="0" applyFont="1" applyFill="1" applyAlignment="1">
      <alignment horizontal="left" vertical="center"/>
    </xf>
    <xf numFmtId="179" fontId="2" fillId="0" borderId="0" xfId="0" applyNumberFormat="1" applyFont="1" applyAlignment="1">
      <alignment horizontal="right"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179" fontId="9" fillId="5" borderId="1" xfId="0" applyNumberFormat="1" applyFont="1" applyFill="1" applyBorder="1">
      <alignment vertical="center"/>
    </xf>
    <xf numFmtId="0" fontId="9" fillId="5" borderId="0" xfId="0" applyFont="1" applyFill="1">
      <alignment vertical="center"/>
    </xf>
    <xf numFmtId="0" fontId="9" fillId="5" borderId="0" xfId="0" applyFont="1" applyFill="1" applyAlignment="1">
      <alignment horizontal="center" vertical="center"/>
    </xf>
    <xf numFmtId="179" fontId="9" fillId="5" borderId="0" xfId="0" applyNumberFormat="1" applyFont="1" applyFill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179" fontId="9" fillId="3" borderId="1" xfId="0" applyNumberFormat="1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179" fontId="9" fillId="3" borderId="0" xfId="0" applyNumberFormat="1" applyFont="1" applyFill="1">
      <alignment vertical="center"/>
    </xf>
    <xf numFmtId="0" fontId="2" fillId="7" borderId="0" xfId="0" applyFont="1" applyFill="1" applyAlignment="1"/>
    <xf numFmtId="0" fontId="5" fillId="7" borderId="0" xfId="0" applyFont="1" applyFill="1">
      <alignment vertical="center"/>
    </xf>
    <xf numFmtId="0" fontId="2" fillId="7" borderId="5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7" borderId="6" xfId="0" applyFont="1" applyFill="1" applyBorder="1" applyAlignment="1">
      <alignment horizontal="center" vertical="center"/>
    </xf>
    <xf numFmtId="179" fontId="2" fillId="7" borderId="6" xfId="0" applyNumberFormat="1" applyFont="1" applyFill="1" applyBorder="1">
      <alignment vertical="center"/>
    </xf>
    <xf numFmtId="178" fontId="2" fillId="7" borderId="7" xfId="0" applyNumberFormat="1" applyFont="1" applyFill="1" applyBorder="1" applyAlignment="1">
      <alignment horizontal="right" vertical="center"/>
    </xf>
    <xf numFmtId="0" fontId="2" fillId="7" borderId="8" xfId="0" applyFont="1" applyFill="1" applyBorder="1">
      <alignment vertical="center"/>
    </xf>
    <xf numFmtId="0" fontId="17" fillId="7" borderId="0" xfId="0" applyFont="1" applyFill="1" applyBorder="1" applyAlignment="1">
      <alignment horizontal="left" vertical="center"/>
    </xf>
    <xf numFmtId="0" fontId="2" fillId="7" borderId="0" xfId="0" applyFont="1" applyFill="1" applyBorder="1">
      <alignment vertical="center"/>
    </xf>
    <xf numFmtId="178" fontId="2" fillId="7" borderId="9" xfId="0" applyNumberFormat="1" applyFont="1" applyFill="1" applyBorder="1" applyAlignment="1">
      <alignment horizontal="right" vertical="center"/>
    </xf>
    <xf numFmtId="179" fontId="16" fillId="7" borderId="0" xfId="0" applyNumberFormat="1" applyFont="1" applyFill="1" applyBorder="1" applyAlignment="1">
      <alignment horizontal="left" vertical="center"/>
    </xf>
    <xf numFmtId="0" fontId="2" fillId="7" borderId="9" xfId="0" applyFont="1" applyFill="1" applyBorder="1">
      <alignment vertical="center"/>
    </xf>
    <xf numFmtId="179" fontId="2" fillId="7" borderId="0" xfId="0" applyNumberFormat="1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1" xfId="0" applyFont="1" applyFill="1" applyBorder="1">
      <alignment vertical="center"/>
    </xf>
    <xf numFmtId="0" fontId="2" fillId="7" borderId="11" xfId="0" applyFont="1" applyFill="1" applyBorder="1" applyAlignment="1">
      <alignment horizontal="center" vertical="center"/>
    </xf>
    <xf numFmtId="179" fontId="2" fillId="7" borderId="11" xfId="0" applyNumberFormat="1" applyFont="1" applyFill="1" applyBorder="1">
      <alignment vertical="center"/>
    </xf>
    <xf numFmtId="178" fontId="2" fillId="7" borderId="12" xfId="0" applyNumberFormat="1" applyFont="1" applyFill="1" applyBorder="1" applyAlignment="1">
      <alignment horizontal="right" vertical="center"/>
    </xf>
    <xf numFmtId="0" fontId="3" fillId="7" borderId="8" xfId="0" applyFont="1" applyFill="1" applyBorder="1">
      <alignment vertical="center"/>
    </xf>
    <xf numFmtId="0" fontId="8" fillId="7" borderId="0" xfId="0" applyFont="1" applyFill="1" applyAlignment="1">
      <alignment horizontal="right" vertical="center"/>
    </xf>
    <xf numFmtId="0" fontId="19" fillId="7" borderId="0" xfId="0" applyFont="1" applyFill="1">
      <alignment vertical="center"/>
    </xf>
    <xf numFmtId="0" fontId="3" fillId="7" borderId="8" xfId="0" applyFont="1" applyFill="1" applyBorder="1" applyAlignment="1"/>
    <xf numFmtId="0" fontId="8" fillId="7" borderId="0" xfId="0" applyFont="1" applyFill="1" applyAlignment="1">
      <alignment horizontal="center" vertical="center"/>
    </xf>
    <xf numFmtId="0" fontId="3" fillId="7" borderId="0" xfId="0" applyFont="1" applyFill="1" applyBorder="1" applyAlignment="1"/>
    <xf numFmtId="0" fontId="3" fillId="7" borderId="0" xfId="0" applyFont="1" applyFill="1" applyBorder="1">
      <alignment vertical="center"/>
    </xf>
    <xf numFmtId="0" fontId="2" fillId="8" borderId="0" xfId="0" applyFont="1" applyFill="1">
      <alignment vertical="center"/>
    </xf>
    <xf numFmtId="0" fontId="2" fillId="8" borderId="0" xfId="0" applyFont="1" applyFill="1" applyAlignment="1">
      <alignment horizontal="center" vertical="center"/>
    </xf>
    <xf numFmtId="179" fontId="2" fillId="8" borderId="0" xfId="0" applyNumberFormat="1" applyFont="1" applyFill="1">
      <alignment vertical="center"/>
    </xf>
    <xf numFmtId="178" fontId="2" fillId="8" borderId="0" xfId="0" applyNumberFormat="1" applyFont="1" applyFill="1" applyAlignment="1">
      <alignment horizontal="right" vertical="center"/>
    </xf>
    <xf numFmtId="0" fontId="3" fillId="7" borderId="10" xfId="0" applyFont="1" applyFill="1" applyBorder="1" applyAlignment="1">
      <alignment vertical="top"/>
    </xf>
    <xf numFmtId="0" fontId="2" fillId="7" borderId="0" xfId="0" applyFont="1" applyFill="1" applyAlignment="1">
      <alignment horizontal="right" vertical="center"/>
    </xf>
    <xf numFmtId="0" fontId="18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177" fontId="18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9" fontId="2" fillId="0" borderId="0" xfId="0" applyNumberFormat="1" applyFont="1" applyFill="1">
      <alignment vertical="center"/>
    </xf>
    <xf numFmtId="178" fontId="2" fillId="0" borderId="0" xfId="0" applyNumberFormat="1" applyFont="1" applyFill="1" applyAlignment="1">
      <alignment horizontal="right" vertical="center"/>
    </xf>
    <xf numFmtId="0" fontId="18" fillId="7" borderId="0" xfId="0" applyFont="1" applyFill="1">
      <alignment vertical="center"/>
    </xf>
    <xf numFmtId="176" fontId="18" fillId="7" borderId="0" xfId="0" applyNumberFormat="1" applyFont="1" applyFill="1">
      <alignment vertical="center"/>
    </xf>
    <xf numFmtId="177" fontId="18" fillId="7" borderId="0" xfId="0" applyNumberFormat="1" applyFont="1" applyFill="1">
      <alignment vertical="center"/>
    </xf>
    <xf numFmtId="178" fontId="18" fillId="7" borderId="0" xfId="0" applyNumberFormat="1" applyFont="1" applyFill="1">
      <alignment vertical="center"/>
    </xf>
    <xf numFmtId="178" fontId="4" fillId="3" borderId="0" xfId="0" applyNumberFormat="1" applyFont="1" applyFill="1" applyAlignment="1">
      <alignment horizontal="center"/>
    </xf>
    <xf numFmtId="178" fontId="4" fillId="5" borderId="0" xfId="0" applyNumberFormat="1" applyFont="1" applyFill="1" applyAlignment="1">
      <alignment horizontal="center"/>
    </xf>
    <xf numFmtId="0" fontId="21" fillId="7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80" fontId="12" fillId="6" borderId="0" xfId="0" applyNumberFormat="1" applyFont="1" applyFill="1" applyBorder="1">
      <alignment vertical="center"/>
    </xf>
    <xf numFmtId="180" fontId="12" fillId="4" borderId="0" xfId="0" applyNumberFormat="1" applyFont="1" applyFill="1" applyBorder="1">
      <alignment vertical="center"/>
    </xf>
    <xf numFmtId="0" fontId="2" fillId="7" borderId="0" xfId="0" applyFont="1" applyFill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180" fontId="15" fillId="7" borderId="0" xfId="0" applyNumberFormat="1" applyFont="1" applyFill="1" applyBorder="1">
      <alignment vertical="center"/>
    </xf>
    <xf numFmtId="0" fontId="14" fillId="7" borderId="8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4" fillId="7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J29"/>
  <sheetViews>
    <sheetView showGridLines="0" tabSelected="1" zoomScale="80" zoomScaleNormal="80" zoomScaleSheetLayoutView="90" workbookViewId="0">
      <selection activeCell="F11" sqref="F11:G11"/>
    </sheetView>
  </sheetViews>
  <sheetFormatPr defaultColWidth="5.625" defaultRowHeight="18.75" x14ac:dyDescent="0.15"/>
  <cols>
    <col min="1" max="2" width="1.875" style="22" customWidth="1"/>
    <col min="3" max="3" width="3.125" style="22" customWidth="1"/>
    <col min="4" max="4" width="10.875" style="22" customWidth="1"/>
    <col min="5" max="5" width="4.25" style="22" bestFit="1" customWidth="1"/>
    <col min="6" max="6" width="6.25" style="85" bestFit="1" customWidth="1"/>
    <col min="7" max="7" width="5.25" style="22" bestFit="1" customWidth="1"/>
    <col min="8" max="8" width="6.25" style="85" customWidth="1"/>
    <col min="9" max="9" width="8.125" style="22" bestFit="1" customWidth="1"/>
    <col min="10" max="10" width="5.625" style="22"/>
    <col min="11" max="11" width="15.125" style="86" bestFit="1" customWidth="1"/>
    <col min="12" max="12" width="5.625" style="22"/>
    <col min="13" max="13" width="2.75" style="22" customWidth="1"/>
    <col min="14" max="14" width="5.5" style="87" customWidth="1"/>
    <col min="15" max="15" width="3.125" style="22" customWidth="1"/>
    <col min="16" max="16" width="5.375" style="22" customWidth="1"/>
    <col min="17" max="17" width="3.75" style="22" customWidth="1"/>
    <col min="18" max="18" width="11.875" style="22" bestFit="1" customWidth="1"/>
    <col min="19" max="19" width="2.625" style="22" bestFit="1" customWidth="1"/>
    <col min="20" max="20" width="6.125" style="22" bestFit="1" customWidth="1"/>
    <col min="21" max="21" width="4.75" style="22" bestFit="1" customWidth="1"/>
    <col min="22" max="22" width="6.125" style="22" bestFit="1" customWidth="1"/>
    <col min="23" max="23" width="8" style="22" bestFit="1" customWidth="1"/>
    <col min="24" max="24" width="3.25" style="22" customWidth="1"/>
    <col min="25" max="25" width="17.875" style="22" bestFit="1" customWidth="1"/>
    <col min="26" max="26" width="3.75" style="22" bestFit="1" customWidth="1"/>
    <col min="27" max="27" width="2.5" style="22" customWidth="1"/>
    <col min="28" max="28" width="7.625" style="22" bestFit="1" customWidth="1"/>
    <col min="29" max="29" width="6.375" style="22" customWidth="1"/>
    <col min="30" max="30" width="2.625" style="22" customWidth="1"/>
    <col min="31" max="37" width="5.625" style="22"/>
    <col min="38" max="38" width="9.375" style="81" customWidth="1"/>
    <col min="39" max="39" width="9.25" style="82" bestFit="1" customWidth="1"/>
    <col min="40" max="40" width="6.375" style="81" bestFit="1" customWidth="1"/>
    <col min="41" max="41" width="5.75" style="81" bestFit="1" customWidth="1"/>
    <col min="42" max="42" width="8.625" style="83" bestFit="1" customWidth="1"/>
    <col min="43" max="43" width="6.625" style="81" bestFit="1" customWidth="1"/>
    <col min="44" max="44" width="5.75" style="81" bestFit="1" customWidth="1"/>
    <col min="45" max="45" width="8.625" style="83" bestFit="1" customWidth="1"/>
    <col min="46" max="47" width="5.75" style="81" bestFit="1" customWidth="1"/>
    <col min="48" max="48" width="8.625" style="83" bestFit="1" customWidth="1"/>
    <col min="49" max="50" width="5.75" style="81" bestFit="1" customWidth="1"/>
    <col min="51" max="51" width="8.625" style="83" bestFit="1" customWidth="1"/>
    <col min="52" max="53" width="5.75" style="81" bestFit="1" customWidth="1"/>
    <col min="54" max="54" width="8.625" style="83" bestFit="1" customWidth="1"/>
    <col min="55" max="55" width="5.75" style="81" bestFit="1" customWidth="1"/>
    <col min="56" max="56" width="6.25" style="81" bestFit="1" customWidth="1"/>
    <col min="57" max="57" width="8.625" style="81" bestFit="1" customWidth="1"/>
    <col min="58" max="58" width="6.25" style="81" bestFit="1" customWidth="1"/>
    <col min="59" max="59" width="5.625" style="81"/>
    <col min="60" max="60" width="8.625" style="81" bestFit="1" customWidth="1"/>
    <col min="61" max="62" width="5.625" style="84"/>
    <col min="63" max="16384" width="5.625" style="22"/>
  </cols>
  <sheetData>
    <row r="1" spans="1:60" ht="31.5" customHeight="1" x14ac:dyDescent="0.1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29"/>
      <c r="AF1" s="29"/>
      <c r="AG1" s="29"/>
      <c r="AH1" s="29"/>
      <c r="AI1" s="29"/>
      <c r="AJ1" s="29"/>
      <c r="AK1" s="29"/>
      <c r="AL1" s="88"/>
      <c r="AM1" s="89"/>
      <c r="AN1" s="88"/>
      <c r="AO1" s="88"/>
      <c r="AP1" s="90"/>
      <c r="AQ1" s="88"/>
      <c r="AR1" s="88"/>
      <c r="AS1" s="90"/>
      <c r="AT1" s="88"/>
      <c r="AU1" s="88"/>
      <c r="AV1" s="90"/>
      <c r="AW1" s="88"/>
      <c r="AX1" s="88"/>
      <c r="AY1" s="90"/>
      <c r="AZ1" s="88"/>
      <c r="BA1" s="88"/>
      <c r="BB1" s="90"/>
      <c r="BC1" s="88"/>
      <c r="BD1" s="88"/>
      <c r="BE1" s="88"/>
      <c r="BF1" s="88"/>
      <c r="BG1" s="88"/>
      <c r="BH1" s="88"/>
    </row>
    <row r="2" spans="1:60" ht="12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1"/>
      <c r="Z2" s="72"/>
      <c r="AA2" s="72"/>
      <c r="AB2" s="72"/>
      <c r="AC2" s="69"/>
      <c r="AD2" s="1"/>
      <c r="AE2" s="29"/>
      <c r="AF2" s="29"/>
      <c r="AG2" s="29"/>
      <c r="AH2" s="29"/>
      <c r="AI2" s="29"/>
      <c r="AJ2" s="29"/>
      <c r="AK2" s="29"/>
      <c r="AL2" s="88"/>
      <c r="AM2" s="89"/>
      <c r="AN2" s="88"/>
      <c r="AO2" s="88"/>
      <c r="AP2" s="90"/>
      <c r="AQ2" s="88"/>
      <c r="AR2" s="88"/>
      <c r="AS2" s="90"/>
      <c r="AT2" s="88"/>
      <c r="AU2" s="88"/>
      <c r="AV2" s="90"/>
      <c r="AW2" s="88"/>
      <c r="AX2" s="88"/>
      <c r="AY2" s="90"/>
      <c r="AZ2" s="88"/>
      <c r="BA2" s="88"/>
      <c r="BB2" s="90"/>
      <c r="BC2" s="88"/>
      <c r="BD2" s="88"/>
      <c r="BE2" s="88"/>
      <c r="BF2" s="88"/>
      <c r="BG2" s="88"/>
      <c r="BH2" s="88"/>
    </row>
    <row r="3" spans="1:60" ht="22.5" customHeight="1" x14ac:dyDescent="0.15">
      <c r="A3" s="29"/>
      <c r="B3" s="70" t="s">
        <v>51</v>
      </c>
      <c r="C3" s="29"/>
      <c r="D3" s="29"/>
      <c r="E3" s="29"/>
      <c r="F3" s="30"/>
      <c r="G3" s="29"/>
      <c r="H3" s="30"/>
      <c r="I3" s="29"/>
      <c r="J3" s="29"/>
      <c r="K3" s="31"/>
      <c r="L3" s="29"/>
      <c r="M3" s="29"/>
      <c r="N3" s="32"/>
      <c r="O3" s="29"/>
      <c r="P3" s="29"/>
      <c r="Q3" s="29"/>
      <c r="R3" s="29"/>
      <c r="S3" s="29"/>
      <c r="T3" s="29"/>
      <c r="U3" s="29"/>
      <c r="V3" s="29"/>
      <c r="W3" s="29"/>
      <c r="X3" s="29"/>
      <c r="Y3" s="72"/>
      <c r="Z3" s="29"/>
      <c r="AA3" s="29"/>
      <c r="AB3" s="29"/>
      <c r="AC3" s="29"/>
      <c r="AD3" s="80" t="s">
        <v>50</v>
      </c>
      <c r="AE3" s="29"/>
      <c r="AF3" s="29"/>
      <c r="AG3" s="29"/>
      <c r="AH3" s="29"/>
      <c r="AI3" s="29"/>
      <c r="AJ3" s="29"/>
      <c r="AK3" s="29"/>
      <c r="AL3" s="88"/>
      <c r="AM3" s="89"/>
      <c r="AN3" s="88"/>
      <c r="AO3" s="88"/>
      <c r="AP3" s="90"/>
      <c r="AQ3" s="88"/>
      <c r="AR3" s="88"/>
      <c r="AS3" s="90"/>
      <c r="AT3" s="88"/>
      <c r="AU3" s="88"/>
      <c r="AV3" s="90"/>
      <c r="AW3" s="88"/>
      <c r="AX3" s="88"/>
      <c r="AY3" s="90"/>
      <c r="AZ3" s="88"/>
      <c r="BA3" s="88"/>
      <c r="BB3" s="90"/>
      <c r="BC3" s="88"/>
      <c r="BD3" s="88"/>
      <c r="BE3" s="88"/>
      <c r="BF3" s="88"/>
      <c r="BG3" s="88"/>
      <c r="BH3" s="88"/>
    </row>
    <row r="4" spans="1:60" ht="22.5" customHeight="1" x14ac:dyDescent="0.45">
      <c r="A4" s="29"/>
      <c r="B4" s="29" t="s">
        <v>41</v>
      </c>
      <c r="C4" s="29"/>
      <c r="D4" s="29"/>
      <c r="E4" s="29"/>
      <c r="F4" s="30"/>
      <c r="G4" s="29"/>
      <c r="H4" s="30"/>
      <c r="I4" s="29"/>
      <c r="J4" s="29"/>
      <c r="K4" s="31"/>
      <c r="L4" s="29"/>
      <c r="M4" s="30"/>
      <c r="N4" s="32"/>
      <c r="O4" s="29"/>
      <c r="P4" s="29"/>
      <c r="Q4" s="49" t="s">
        <v>27</v>
      </c>
      <c r="R4" s="29"/>
      <c r="S4" s="29"/>
      <c r="T4" s="30"/>
      <c r="U4" s="29"/>
      <c r="V4" s="30"/>
      <c r="W4" s="29"/>
      <c r="X4" s="29"/>
      <c r="Y4" s="31"/>
      <c r="Z4" s="29"/>
      <c r="AA4" s="29"/>
      <c r="AB4" s="32"/>
      <c r="AC4" s="29"/>
      <c r="AD4" s="29"/>
      <c r="AE4" s="29"/>
      <c r="AF4" s="29"/>
      <c r="AG4" s="29"/>
      <c r="AH4" s="29"/>
      <c r="AI4" s="29"/>
      <c r="AJ4" s="29"/>
      <c r="AK4" s="29"/>
      <c r="AL4" s="88" t="s">
        <v>24</v>
      </c>
      <c r="AM4" s="89" t="s">
        <v>5</v>
      </c>
      <c r="AN4" s="88" t="s">
        <v>6</v>
      </c>
      <c r="AO4" s="88"/>
      <c r="AP4" s="90"/>
      <c r="AQ4" s="88" t="s">
        <v>7</v>
      </c>
      <c r="AR4" s="88"/>
      <c r="AS4" s="90"/>
      <c r="AT4" s="88" t="s">
        <v>8</v>
      </c>
      <c r="AU4" s="88"/>
      <c r="AV4" s="90"/>
      <c r="AW4" s="88" t="s">
        <v>9</v>
      </c>
      <c r="AX4" s="88"/>
      <c r="AY4" s="90"/>
      <c r="AZ4" s="88" t="s">
        <v>10</v>
      </c>
      <c r="BA4" s="88"/>
      <c r="BB4" s="90"/>
      <c r="BC4" s="88" t="s">
        <v>25</v>
      </c>
      <c r="BD4" s="88"/>
      <c r="BE4" s="90"/>
      <c r="BF4" s="88" t="s">
        <v>26</v>
      </c>
      <c r="BG4" s="88"/>
      <c r="BH4" s="90"/>
    </row>
    <row r="5" spans="1:60" ht="22.5" customHeight="1" thickBot="1" x14ac:dyDescent="0.2">
      <c r="A5" s="29"/>
      <c r="B5" s="29"/>
      <c r="C5" s="29"/>
      <c r="D5" s="29"/>
      <c r="E5" s="29"/>
      <c r="F5" s="30"/>
      <c r="G5" s="29"/>
      <c r="H5" s="30"/>
      <c r="I5" s="29"/>
      <c r="J5" s="29"/>
      <c r="K5" s="29"/>
      <c r="L5" s="29"/>
      <c r="M5" s="30"/>
      <c r="N5" s="32"/>
      <c r="O5" s="29"/>
      <c r="P5" s="29"/>
      <c r="Q5" s="2"/>
      <c r="R5" s="2"/>
      <c r="S5" s="2"/>
      <c r="T5" s="3"/>
      <c r="U5" s="2"/>
      <c r="V5" s="3"/>
      <c r="W5" s="2"/>
      <c r="X5" s="2"/>
      <c r="Y5" s="4"/>
      <c r="Z5" s="2"/>
      <c r="AA5" s="2"/>
      <c r="AB5" s="5"/>
      <c r="AC5" s="2"/>
      <c r="AD5" s="29"/>
      <c r="AE5" s="29"/>
      <c r="AF5" s="29"/>
      <c r="AG5" s="29"/>
      <c r="AH5" s="29"/>
      <c r="AI5" s="29"/>
      <c r="AJ5" s="29"/>
      <c r="AK5" s="29"/>
      <c r="AL5" s="88"/>
      <c r="AM5" s="89"/>
      <c r="AN5" s="88"/>
      <c r="AO5" s="88"/>
      <c r="AP5" s="90"/>
      <c r="AQ5" s="88"/>
      <c r="AR5" s="88"/>
      <c r="AS5" s="90"/>
      <c r="AT5" s="88"/>
      <c r="AU5" s="88"/>
      <c r="AV5" s="90"/>
      <c r="AW5" s="88"/>
      <c r="AX5" s="88"/>
      <c r="AY5" s="90"/>
      <c r="AZ5" s="88"/>
      <c r="BA5" s="88"/>
      <c r="BB5" s="90"/>
      <c r="BC5" s="88"/>
      <c r="BD5" s="88"/>
      <c r="BE5" s="90"/>
      <c r="BF5" s="88"/>
      <c r="BG5" s="88"/>
      <c r="BH5" s="90"/>
    </row>
    <row r="6" spans="1:60" ht="22.5" customHeight="1" thickBot="1" x14ac:dyDescent="0.2">
      <c r="A6" s="29"/>
      <c r="B6" s="29"/>
      <c r="C6" s="101" t="s">
        <v>55</v>
      </c>
      <c r="D6" s="101"/>
      <c r="E6" s="102"/>
      <c r="F6" s="95"/>
      <c r="G6" s="96"/>
      <c r="H6" s="35" t="s">
        <v>40</v>
      </c>
      <c r="I6" s="1"/>
      <c r="J6" s="29"/>
      <c r="K6" s="36" t="s">
        <v>44</v>
      </c>
      <c r="L6" s="95"/>
      <c r="M6" s="96"/>
      <c r="N6" s="32"/>
      <c r="O6" s="29"/>
      <c r="P6" s="29"/>
      <c r="Q6" s="43" t="s">
        <v>37</v>
      </c>
      <c r="R6" s="43"/>
      <c r="S6" s="43"/>
      <c r="T6" s="44"/>
      <c r="U6" s="43"/>
      <c r="V6" s="44"/>
      <c r="W6" s="43"/>
      <c r="X6" s="43"/>
      <c r="Y6" s="45" t="str">
        <f>IF(F6="","",IF(F11="","",VLOOKUP(F6,AL6:AM13,2,FALSE)))</f>
        <v/>
      </c>
      <c r="Z6" s="43" t="s">
        <v>4</v>
      </c>
      <c r="AA6" s="2"/>
      <c r="AB6" s="5"/>
      <c r="AC6" s="2"/>
      <c r="AD6" s="29"/>
      <c r="AE6" s="29"/>
      <c r="AF6" s="29"/>
      <c r="AG6" s="29"/>
      <c r="AH6" s="29"/>
      <c r="AI6" s="29"/>
      <c r="AJ6" s="29"/>
      <c r="AK6" s="29"/>
      <c r="AL6" s="88">
        <v>13</v>
      </c>
      <c r="AM6" s="89">
        <v>990</v>
      </c>
      <c r="AN6" s="88">
        <v>1</v>
      </c>
      <c r="AO6" s="88">
        <v>10</v>
      </c>
      <c r="AP6" s="90">
        <v>16.5</v>
      </c>
      <c r="AQ6" s="88">
        <v>11</v>
      </c>
      <c r="AR6" s="88">
        <v>20</v>
      </c>
      <c r="AS6" s="90">
        <v>148.5</v>
      </c>
      <c r="AT6" s="88">
        <v>21</v>
      </c>
      <c r="AU6" s="88">
        <v>30</v>
      </c>
      <c r="AV6" s="90">
        <v>176</v>
      </c>
      <c r="AW6" s="88">
        <v>31</v>
      </c>
      <c r="AX6" s="88">
        <v>40</v>
      </c>
      <c r="AY6" s="90">
        <v>203.5</v>
      </c>
      <c r="AZ6" s="88">
        <v>41</v>
      </c>
      <c r="BA6" s="88" t="s">
        <v>15</v>
      </c>
      <c r="BB6" s="90">
        <v>242</v>
      </c>
      <c r="BC6" s="88"/>
      <c r="BD6" s="88"/>
      <c r="BE6" s="88"/>
      <c r="BF6" s="88"/>
      <c r="BG6" s="88"/>
      <c r="BH6" s="88"/>
    </row>
    <row r="7" spans="1:60" ht="22.5" customHeight="1" x14ac:dyDescent="0.15">
      <c r="A7" s="29"/>
      <c r="B7" s="29"/>
      <c r="C7" s="29"/>
      <c r="D7" s="29"/>
      <c r="E7" s="29"/>
      <c r="F7" s="30"/>
      <c r="G7" s="29"/>
      <c r="H7" s="30"/>
      <c r="I7" s="29"/>
      <c r="J7" s="29"/>
      <c r="K7" s="29"/>
      <c r="L7" s="29"/>
      <c r="M7" s="30"/>
      <c r="N7" s="32"/>
      <c r="O7" s="29"/>
      <c r="P7" s="29"/>
      <c r="Q7" s="46"/>
      <c r="R7" s="46"/>
      <c r="S7" s="46"/>
      <c r="T7" s="47"/>
      <c r="U7" s="46"/>
      <c r="V7" s="47"/>
      <c r="W7" s="46"/>
      <c r="X7" s="46"/>
      <c r="Y7" s="48"/>
      <c r="Z7" s="46"/>
      <c r="AA7" s="2"/>
      <c r="AB7" s="5"/>
      <c r="AC7" s="2"/>
      <c r="AD7" s="29"/>
      <c r="AE7" s="29"/>
      <c r="AF7" s="29"/>
      <c r="AG7" s="29"/>
      <c r="AH7" s="29"/>
      <c r="AI7" s="29"/>
      <c r="AJ7" s="29"/>
      <c r="AK7" s="29"/>
      <c r="AL7" s="88">
        <v>20</v>
      </c>
      <c r="AM7" s="89">
        <v>1364</v>
      </c>
      <c r="AN7" s="88">
        <v>1</v>
      </c>
      <c r="AO7" s="88">
        <v>10</v>
      </c>
      <c r="AP7" s="90">
        <v>16.5</v>
      </c>
      <c r="AQ7" s="88">
        <v>11</v>
      </c>
      <c r="AR7" s="88">
        <v>20</v>
      </c>
      <c r="AS7" s="90">
        <v>148.5</v>
      </c>
      <c r="AT7" s="88">
        <v>21</v>
      </c>
      <c r="AU7" s="88">
        <v>30</v>
      </c>
      <c r="AV7" s="90">
        <v>176</v>
      </c>
      <c r="AW7" s="88">
        <v>31</v>
      </c>
      <c r="AX7" s="88">
        <v>40</v>
      </c>
      <c r="AY7" s="90">
        <v>203.5</v>
      </c>
      <c r="AZ7" s="88">
        <v>41</v>
      </c>
      <c r="BA7" s="88" t="s">
        <v>15</v>
      </c>
      <c r="BB7" s="90">
        <v>242</v>
      </c>
      <c r="BC7" s="88"/>
      <c r="BD7" s="88"/>
      <c r="BE7" s="88"/>
      <c r="BF7" s="88"/>
      <c r="BG7" s="88"/>
      <c r="BH7" s="88"/>
    </row>
    <row r="8" spans="1:60" ht="22.5" customHeight="1" x14ac:dyDescent="0.15">
      <c r="A8" s="29"/>
      <c r="B8" s="70" t="s">
        <v>42</v>
      </c>
      <c r="C8" s="29"/>
      <c r="D8" s="29"/>
      <c r="E8" s="29"/>
      <c r="F8" s="30"/>
      <c r="G8" s="29"/>
      <c r="H8" s="30"/>
      <c r="I8" s="29"/>
      <c r="J8" s="29"/>
      <c r="K8" s="31"/>
      <c r="L8" s="29"/>
      <c r="M8" s="29"/>
      <c r="N8" s="32"/>
      <c r="O8" s="29"/>
      <c r="P8" s="29"/>
      <c r="Q8" s="43" t="s">
        <v>36</v>
      </c>
      <c r="R8" s="43"/>
      <c r="S8" s="43"/>
      <c r="T8" s="44"/>
      <c r="U8" s="43"/>
      <c r="V8" s="44"/>
      <c r="W8" s="43"/>
      <c r="X8" s="43"/>
      <c r="Y8" s="45" t="str">
        <f>IF(F6="","",SUM(Y10:Y14))</f>
        <v/>
      </c>
      <c r="Z8" s="43" t="s">
        <v>4</v>
      </c>
      <c r="AA8" s="2"/>
      <c r="AB8" s="92" t="s">
        <v>32</v>
      </c>
      <c r="AC8" s="92"/>
      <c r="AD8" s="29"/>
      <c r="AE8" s="29"/>
      <c r="AF8" s="29"/>
      <c r="AG8" s="29"/>
      <c r="AH8" s="29"/>
      <c r="AI8" s="29"/>
      <c r="AJ8" s="29"/>
      <c r="AK8" s="29"/>
      <c r="AL8" s="88">
        <v>25</v>
      </c>
      <c r="AM8" s="89">
        <v>1859</v>
      </c>
      <c r="AN8" s="88">
        <v>1</v>
      </c>
      <c r="AO8" s="88">
        <v>10</v>
      </c>
      <c r="AP8" s="90">
        <v>16.5</v>
      </c>
      <c r="AQ8" s="88">
        <v>11</v>
      </c>
      <c r="AR8" s="88">
        <v>20</v>
      </c>
      <c r="AS8" s="90">
        <v>148.5</v>
      </c>
      <c r="AT8" s="88">
        <v>21</v>
      </c>
      <c r="AU8" s="88">
        <v>30</v>
      </c>
      <c r="AV8" s="90">
        <v>176</v>
      </c>
      <c r="AW8" s="88">
        <v>31</v>
      </c>
      <c r="AX8" s="88">
        <v>40</v>
      </c>
      <c r="AY8" s="90">
        <v>203.5</v>
      </c>
      <c r="AZ8" s="88">
        <v>41</v>
      </c>
      <c r="BA8" s="88" t="s">
        <v>15</v>
      </c>
      <c r="BB8" s="90">
        <v>242</v>
      </c>
      <c r="BC8" s="88"/>
      <c r="BD8" s="88"/>
      <c r="BE8" s="88"/>
      <c r="BF8" s="88"/>
      <c r="BG8" s="88"/>
      <c r="BH8" s="88"/>
    </row>
    <row r="9" spans="1:60" ht="22.5" customHeight="1" x14ac:dyDescent="0.15">
      <c r="A9" s="29"/>
      <c r="B9" s="34" t="s">
        <v>43</v>
      </c>
      <c r="C9" s="29"/>
      <c r="D9" s="29"/>
      <c r="E9" s="29"/>
      <c r="F9" s="30"/>
      <c r="G9" s="29"/>
      <c r="H9" s="30"/>
      <c r="I9" s="29"/>
      <c r="J9" s="29"/>
      <c r="K9" s="31"/>
      <c r="L9" s="29"/>
      <c r="M9" s="29"/>
      <c r="N9" s="32"/>
      <c r="O9" s="29"/>
      <c r="P9" s="29"/>
      <c r="Q9" s="23"/>
      <c r="R9" s="23"/>
      <c r="S9" s="23"/>
      <c r="T9" s="24"/>
      <c r="U9" s="23"/>
      <c r="V9" s="24"/>
      <c r="W9" s="23"/>
      <c r="X9" s="23"/>
      <c r="Y9" s="25"/>
      <c r="Z9" s="23"/>
      <c r="AA9" s="2"/>
      <c r="AB9" s="92"/>
      <c r="AC9" s="92"/>
      <c r="AD9" s="29"/>
      <c r="AE9" s="29"/>
      <c r="AF9" s="29"/>
      <c r="AG9" s="29"/>
      <c r="AH9" s="29"/>
      <c r="AI9" s="29"/>
      <c r="AJ9" s="29"/>
      <c r="AK9" s="29"/>
      <c r="AL9" s="88">
        <v>40</v>
      </c>
      <c r="AM9" s="89">
        <v>4235</v>
      </c>
      <c r="AN9" s="88">
        <v>1</v>
      </c>
      <c r="AO9" s="88">
        <v>50</v>
      </c>
      <c r="AP9" s="90">
        <v>242</v>
      </c>
      <c r="AQ9" s="88">
        <v>51</v>
      </c>
      <c r="AR9" s="88">
        <v>100</v>
      </c>
      <c r="AS9" s="90">
        <v>264</v>
      </c>
      <c r="AT9" s="88">
        <v>101</v>
      </c>
      <c r="AU9" s="88">
        <v>500</v>
      </c>
      <c r="AV9" s="90">
        <v>286</v>
      </c>
      <c r="AW9" s="88">
        <v>501</v>
      </c>
      <c r="AX9" s="88" t="s">
        <v>15</v>
      </c>
      <c r="AY9" s="90">
        <v>319</v>
      </c>
      <c r="AZ9" s="88" t="s">
        <v>16</v>
      </c>
      <c r="BA9" s="88" t="s">
        <v>14</v>
      </c>
      <c r="BB9" s="90" t="s">
        <v>16</v>
      </c>
      <c r="BC9" s="88"/>
      <c r="BD9" s="88"/>
      <c r="BE9" s="88"/>
      <c r="BF9" s="88"/>
      <c r="BG9" s="88"/>
      <c r="BH9" s="88"/>
    </row>
    <row r="10" spans="1:60" ht="22.5" customHeight="1" thickBot="1" x14ac:dyDescent="0.2">
      <c r="A10" s="29"/>
      <c r="B10" s="33"/>
      <c r="C10" s="29"/>
      <c r="D10" s="29"/>
      <c r="E10" s="29"/>
      <c r="F10" s="30"/>
      <c r="G10" s="29"/>
      <c r="H10" s="30"/>
      <c r="I10" s="29"/>
      <c r="J10" s="29"/>
      <c r="K10" s="31"/>
      <c r="L10" s="29"/>
      <c r="M10" s="29"/>
      <c r="N10" s="32"/>
      <c r="O10" s="29"/>
      <c r="P10" s="29"/>
      <c r="Q10" s="2"/>
      <c r="R10" s="15" t="s">
        <v>18</v>
      </c>
      <c r="S10" s="15" t="s">
        <v>11</v>
      </c>
      <c r="T10" s="16" t="str">
        <f>IF(F6="","",VLOOKUP($F$6,$AL$6:$BB$13,3,FALSE))</f>
        <v/>
      </c>
      <c r="U10" s="14" t="s">
        <v>12</v>
      </c>
      <c r="V10" s="16" t="str">
        <f>IF(F6="","",VLOOKUP($F$6,$AL$6:$BB$13,4,FALSE))</f>
        <v/>
      </c>
      <c r="W10" s="14" t="s">
        <v>13</v>
      </c>
      <c r="X10" s="14"/>
      <c r="Y10" s="17" t="str">
        <f>IF(F6="","",IF($F$11&gt;$V$10,$AB$10*($V$10),$F$11*$AB$10))</f>
        <v/>
      </c>
      <c r="Z10" s="14" t="s">
        <v>4</v>
      </c>
      <c r="AA10" s="2"/>
      <c r="AB10" s="6" t="str">
        <f>IF(F6="","",VLOOKUP($F$6,$AL$6:$BB$13,5,FALSE))</f>
        <v/>
      </c>
      <c r="AC10" s="7" t="s">
        <v>33</v>
      </c>
      <c r="AD10" s="29"/>
      <c r="AE10" s="29"/>
      <c r="AF10" s="29"/>
      <c r="AG10" s="29"/>
      <c r="AH10" s="29"/>
      <c r="AI10" s="29"/>
      <c r="AJ10" s="29"/>
      <c r="AK10" s="29"/>
      <c r="AL10" s="88">
        <v>50</v>
      </c>
      <c r="AM10" s="89">
        <v>9185</v>
      </c>
      <c r="AN10" s="88">
        <v>1</v>
      </c>
      <c r="AO10" s="88">
        <v>50</v>
      </c>
      <c r="AP10" s="90">
        <v>242</v>
      </c>
      <c r="AQ10" s="88">
        <v>51</v>
      </c>
      <c r="AR10" s="88">
        <v>100</v>
      </c>
      <c r="AS10" s="90">
        <v>264</v>
      </c>
      <c r="AT10" s="88">
        <v>101</v>
      </c>
      <c r="AU10" s="88">
        <v>500</v>
      </c>
      <c r="AV10" s="90">
        <v>286</v>
      </c>
      <c r="AW10" s="88">
        <v>501</v>
      </c>
      <c r="AX10" s="88" t="s">
        <v>15</v>
      </c>
      <c r="AY10" s="90">
        <v>319</v>
      </c>
      <c r="AZ10" s="88" t="s">
        <v>16</v>
      </c>
      <c r="BA10" s="88" t="s">
        <v>14</v>
      </c>
      <c r="BB10" s="90" t="s">
        <v>16</v>
      </c>
      <c r="BC10" s="88"/>
      <c r="BD10" s="88"/>
      <c r="BE10" s="88"/>
      <c r="BF10" s="88"/>
      <c r="BG10" s="88"/>
      <c r="BH10" s="88"/>
    </row>
    <row r="11" spans="1:60" ht="22.5" customHeight="1" thickBot="1" x14ac:dyDescent="0.2">
      <c r="A11" s="29"/>
      <c r="B11" s="33"/>
      <c r="C11" s="111" t="s">
        <v>54</v>
      </c>
      <c r="D11" s="112"/>
      <c r="E11" s="112"/>
      <c r="F11" s="97"/>
      <c r="G11" s="98"/>
      <c r="H11" s="29" t="s">
        <v>2</v>
      </c>
      <c r="I11" s="29" t="s">
        <v>48</v>
      </c>
      <c r="J11" s="29"/>
      <c r="K11" s="31"/>
      <c r="L11" s="29"/>
      <c r="M11" s="29"/>
      <c r="N11" s="32"/>
      <c r="O11" s="29"/>
      <c r="P11" s="29"/>
      <c r="Q11" s="2"/>
      <c r="R11" s="15" t="s">
        <v>19</v>
      </c>
      <c r="S11" s="15" t="s">
        <v>11</v>
      </c>
      <c r="T11" s="16" t="str">
        <f>IF(F6="","",VLOOKUP($F$6,$AL$6:$BB$13,6,FALSE))</f>
        <v/>
      </c>
      <c r="U11" s="14" t="s">
        <v>12</v>
      </c>
      <c r="V11" s="16" t="str">
        <f>IF(F6="","",VLOOKUP($F$6,$AL$6:$BB$13,7,FALSE))</f>
        <v/>
      </c>
      <c r="W11" s="14" t="s">
        <v>13</v>
      </c>
      <c r="X11" s="14"/>
      <c r="Y11" s="17" t="str">
        <f>IF(F6="","",IF($F$11&lt;$V$10,0,IF($F$11&gt;$V$11,$AB$11*($V$11-$V$10),($F$11-V10)*$AB$11)))</f>
        <v/>
      </c>
      <c r="Z11" s="14" t="s">
        <v>4</v>
      </c>
      <c r="AA11" s="2"/>
      <c r="AB11" s="6" t="str">
        <f>IF(F6="","",VLOOKUP($F$6,$AL$6:$BB$13,8,FALSE))</f>
        <v/>
      </c>
      <c r="AC11" s="7" t="s">
        <v>33</v>
      </c>
      <c r="AD11" s="29"/>
      <c r="AE11" s="29"/>
      <c r="AF11" s="29"/>
      <c r="AG11" s="29"/>
      <c r="AH11" s="29"/>
      <c r="AI11" s="29"/>
      <c r="AJ11" s="29"/>
      <c r="AK11" s="29"/>
      <c r="AL11" s="88">
        <v>75</v>
      </c>
      <c r="AM11" s="89">
        <v>16335</v>
      </c>
      <c r="AN11" s="88">
        <v>1</v>
      </c>
      <c r="AO11" s="88">
        <v>50</v>
      </c>
      <c r="AP11" s="90">
        <v>242</v>
      </c>
      <c r="AQ11" s="88">
        <v>51</v>
      </c>
      <c r="AR11" s="88">
        <v>100</v>
      </c>
      <c r="AS11" s="90">
        <v>264</v>
      </c>
      <c r="AT11" s="88">
        <v>101</v>
      </c>
      <c r="AU11" s="88">
        <v>500</v>
      </c>
      <c r="AV11" s="90">
        <v>286</v>
      </c>
      <c r="AW11" s="88">
        <v>501</v>
      </c>
      <c r="AX11" s="88" t="s">
        <v>15</v>
      </c>
      <c r="AY11" s="90">
        <v>319</v>
      </c>
      <c r="AZ11" s="88" t="s">
        <v>16</v>
      </c>
      <c r="BA11" s="88" t="s">
        <v>14</v>
      </c>
      <c r="BB11" s="90" t="s">
        <v>16</v>
      </c>
      <c r="BC11" s="88"/>
      <c r="BD11" s="88"/>
      <c r="BE11" s="88"/>
      <c r="BF11" s="88"/>
      <c r="BG11" s="88"/>
      <c r="BH11" s="88"/>
    </row>
    <row r="12" spans="1:60" ht="22.5" customHeight="1" x14ac:dyDescent="0.15">
      <c r="A12" s="29"/>
      <c r="B12" s="29"/>
      <c r="C12" s="112"/>
      <c r="D12" s="112"/>
      <c r="E12" s="112"/>
      <c r="F12" s="30"/>
      <c r="G12" s="29"/>
      <c r="H12" s="30"/>
      <c r="I12" s="29"/>
      <c r="J12" s="29"/>
      <c r="K12" s="31"/>
      <c r="L12" s="29"/>
      <c r="M12" s="29"/>
      <c r="N12" s="32"/>
      <c r="O12" s="29"/>
      <c r="P12" s="29"/>
      <c r="Q12" s="2"/>
      <c r="R12" s="15" t="s">
        <v>20</v>
      </c>
      <c r="S12" s="15" t="s">
        <v>11</v>
      </c>
      <c r="T12" s="16" t="str">
        <f>IF(F6="","",VLOOKUP($F$6,$AL$6:$BB$13,9,FALSE))</f>
        <v/>
      </c>
      <c r="U12" s="14" t="s">
        <v>12</v>
      </c>
      <c r="V12" s="16" t="str">
        <f>IF(F6="","",VLOOKUP($F$6,$AL$6:$BB$13,10,FALSE))</f>
        <v/>
      </c>
      <c r="W12" s="14" t="s">
        <v>13</v>
      </c>
      <c r="X12" s="14"/>
      <c r="Y12" s="17" t="str">
        <f>IF(F6="","",IF($F$11&lt;$V$11,0,IF($F$11&gt;$V$12,$AB$12*($V$12-$V$11),($F$11-V11)*$AB$12)))</f>
        <v/>
      </c>
      <c r="Z12" s="14" t="s">
        <v>4</v>
      </c>
      <c r="AA12" s="2"/>
      <c r="AB12" s="6" t="str">
        <f>IF(F6="","",VLOOKUP($F$6,$AL$6:$BB$13,11,FALSE))</f>
        <v/>
      </c>
      <c r="AC12" s="7" t="s">
        <v>33</v>
      </c>
      <c r="AD12" s="29"/>
      <c r="AE12" s="29"/>
      <c r="AF12" s="29"/>
      <c r="AG12" s="29"/>
      <c r="AH12" s="29"/>
      <c r="AI12" s="29"/>
      <c r="AJ12" s="29"/>
      <c r="AK12" s="29"/>
      <c r="AL12" s="88">
        <v>100</v>
      </c>
      <c r="AM12" s="89">
        <v>28160</v>
      </c>
      <c r="AN12" s="88">
        <v>1</v>
      </c>
      <c r="AO12" s="88">
        <v>50</v>
      </c>
      <c r="AP12" s="90">
        <v>242</v>
      </c>
      <c r="AQ12" s="88">
        <v>51</v>
      </c>
      <c r="AR12" s="88">
        <v>100</v>
      </c>
      <c r="AS12" s="90">
        <v>264</v>
      </c>
      <c r="AT12" s="88">
        <v>101</v>
      </c>
      <c r="AU12" s="88">
        <v>500</v>
      </c>
      <c r="AV12" s="90">
        <v>286</v>
      </c>
      <c r="AW12" s="88">
        <v>501</v>
      </c>
      <c r="AX12" s="88" t="s">
        <v>15</v>
      </c>
      <c r="AY12" s="90">
        <v>319</v>
      </c>
      <c r="AZ12" s="88" t="s">
        <v>16</v>
      </c>
      <c r="BA12" s="88" t="s">
        <v>14</v>
      </c>
      <c r="BB12" s="90" t="s">
        <v>16</v>
      </c>
      <c r="BC12" s="88"/>
      <c r="BD12" s="88"/>
      <c r="BE12" s="88"/>
      <c r="BF12" s="88"/>
      <c r="BG12" s="88"/>
      <c r="BH12" s="88"/>
    </row>
    <row r="13" spans="1:60" ht="22.5" customHeight="1" x14ac:dyDescent="0.15">
      <c r="A13" s="29"/>
      <c r="B13" s="29"/>
      <c r="C13" s="109" t="s">
        <v>35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29"/>
      <c r="P13" s="29"/>
      <c r="Q13" s="2"/>
      <c r="R13" s="15" t="s">
        <v>21</v>
      </c>
      <c r="S13" s="15" t="s">
        <v>11</v>
      </c>
      <c r="T13" s="16" t="str">
        <f>IF(F6="","",VLOOKUP($F$6,$AL$6:$BB$13,12,FALSE))</f>
        <v/>
      </c>
      <c r="U13" s="14" t="s">
        <v>12</v>
      </c>
      <c r="V13" s="16" t="str">
        <f>IF(F6="","",VLOOKUP($F$6,$AL$6:$BB$13,13,FALSE))</f>
        <v/>
      </c>
      <c r="W13" s="14" t="s">
        <v>13</v>
      </c>
      <c r="X13" s="14"/>
      <c r="Y13" s="17" t="str">
        <f>IF(F6="","",IF($F$11&lt;$V$12,0,IF($F$11&gt;$V$13,$AB$13*($V$13-$V$12),($F$11-V12)*$AB$13)))</f>
        <v/>
      </c>
      <c r="Z13" s="14" t="s">
        <v>4</v>
      </c>
      <c r="AA13" s="2"/>
      <c r="AB13" s="6" t="str">
        <f>IF(F6="","",VLOOKUP($F$6,$AL$6:$BB$13,14,FALSE))</f>
        <v/>
      </c>
      <c r="AC13" s="7" t="s">
        <v>33</v>
      </c>
      <c r="AD13" s="29"/>
      <c r="AE13" s="29"/>
      <c r="AF13" s="29"/>
      <c r="AG13" s="29"/>
      <c r="AH13" s="29"/>
      <c r="AI13" s="29"/>
      <c r="AJ13" s="29"/>
      <c r="AK13" s="29"/>
      <c r="AL13" s="88">
        <v>150</v>
      </c>
      <c r="AM13" s="89">
        <v>60500</v>
      </c>
      <c r="AN13" s="88">
        <v>1</v>
      </c>
      <c r="AO13" s="88">
        <v>50</v>
      </c>
      <c r="AP13" s="90">
        <v>242</v>
      </c>
      <c r="AQ13" s="88">
        <v>51</v>
      </c>
      <c r="AR13" s="88">
        <v>100</v>
      </c>
      <c r="AS13" s="90">
        <v>264</v>
      </c>
      <c r="AT13" s="88">
        <v>101</v>
      </c>
      <c r="AU13" s="88">
        <v>500</v>
      </c>
      <c r="AV13" s="90">
        <v>286</v>
      </c>
      <c r="AW13" s="88">
        <v>501</v>
      </c>
      <c r="AX13" s="88" t="s">
        <v>15</v>
      </c>
      <c r="AY13" s="90">
        <v>319</v>
      </c>
      <c r="AZ13" s="88" t="s">
        <v>16</v>
      </c>
      <c r="BA13" s="88" t="s">
        <v>14</v>
      </c>
      <c r="BB13" s="90" t="s">
        <v>16</v>
      </c>
      <c r="BC13" s="88"/>
      <c r="BD13" s="88"/>
      <c r="BE13" s="88"/>
      <c r="BF13" s="88"/>
      <c r="BG13" s="88"/>
      <c r="BH13" s="88"/>
    </row>
    <row r="14" spans="1:60" ht="22.5" customHeight="1" thickBot="1" x14ac:dyDescent="0.2">
      <c r="A14" s="29"/>
      <c r="B14" s="1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29"/>
      <c r="P14" s="29"/>
      <c r="Q14" s="2"/>
      <c r="R14" s="15" t="s">
        <v>22</v>
      </c>
      <c r="S14" s="15" t="s">
        <v>11</v>
      </c>
      <c r="T14" s="16" t="str">
        <f>IF(F6="","",VLOOKUP($F$6,$AL$6:$BB$13,15,FALSE))</f>
        <v/>
      </c>
      <c r="U14" s="14" t="s">
        <v>12</v>
      </c>
      <c r="V14" s="16"/>
      <c r="W14" s="14" t="s">
        <v>13</v>
      </c>
      <c r="X14" s="14"/>
      <c r="Y14" s="17" t="str">
        <f>IF(F6="","",IF($F$11&lt;$V$13,0,($F$11-V13)*$AB$14))</f>
        <v/>
      </c>
      <c r="Z14" s="14" t="s">
        <v>4</v>
      </c>
      <c r="AA14" s="2"/>
      <c r="AB14" s="6" t="str">
        <f>IF(F6="","",VLOOKUP($F$6,$AL$6:$BB$13,17,FALSE))</f>
        <v/>
      </c>
      <c r="AC14" s="7" t="s">
        <v>33</v>
      </c>
      <c r="AD14" s="29"/>
      <c r="AE14" s="29"/>
      <c r="AF14" s="29"/>
      <c r="AG14" s="29"/>
      <c r="AH14" s="29"/>
      <c r="AI14" s="29"/>
      <c r="AJ14" s="29"/>
      <c r="AK14" s="29"/>
      <c r="AL14" s="88"/>
      <c r="AM14" s="89"/>
      <c r="AN14" s="88"/>
      <c r="AO14" s="88"/>
      <c r="AP14" s="90"/>
      <c r="AQ14" s="88"/>
      <c r="AR14" s="88"/>
      <c r="AS14" s="90"/>
      <c r="AT14" s="88"/>
      <c r="AU14" s="88"/>
      <c r="AV14" s="90"/>
      <c r="AW14" s="88"/>
      <c r="AX14" s="88"/>
      <c r="AY14" s="90"/>
      <c r="AZ14" s="88"/>
      <c r="BA14" s="88"/>
      <c r="BB14" s="90"/>
      <c r="BC14" s="88"/>
      <c r="BD14" s="88"/>
      <c r="BE14" s="88"/>
      <c r="BF14" s="88"/>
      <c r="BG14" s="88"/>
      <c r="BH14" s="88"/>
    </row>
    <row r="15" spans="1:60" ht="22.5" customHeight="1" x14ac:dyDescent="0.15">
      <c r="A15" s="29"/>
      <c r="B15" s="29"/>
      <c r="C15" s="51"/>
      <c r="D15" s="52"/>
      <c r="E15" s="52"/>
      <c r="F15" s="53"/>
      <c r="G15" s="52"/>
      <c r="H15" s="53"/>
      <c r="I15" s="52"/>
      <c r="J15" s="52"/>
      <c r="K15" s="54"/>
      <c r="L15" s="52"/>
      <c r="M15" s="52"/>
      <c r="N15" s="5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88" t="s">
        <v>0</v>
      </c>
      <c r="AM15" s="91">
        <v>890.47</v>
      </c>
      <c r="AN15" s="88">
        <v>1</v>
      </c>
      <c r="AO15" s="88">
        <v>10</v>
      </c>
      <c r="AP15" s="90">
        <v>14.65</v>
      </c>
      <c r="AQ15" s="88">
        <v>11</v>
      </c>
      <c r="AR15" s="88">
        <v>20</v>
      </c>
      <c r="AS15" s="90">
        <v>130.94999999999999</v>
      </c>
      <c r="AT15" s="88">
        <v>21</v>
      </c>
      <c r="AU15" s="88">
        <v>50</v>
      </c>
      <c r="AV15" s="90">
        <v>172.85</v>
      </c>
      <c r="AW15" s="88">
        <v>51</v>
      </c>
      <c r="AX15" s="88">
        <v>200</v>
      </c>
      <c r="AY15" s="90">
        <v>209.51</v>
      </c>
      <c r="AZ15" s="88">
        <v>201</v>
      </c>
      <c r="BA15" s="88">
        <v>500</v>
      </c>
      <c r="BB15" s="90">
        <v>251.42</v>
      </c>
      <c r="BC15" s="88">
        <v>501</v>
      </c>
      <c r="BD15" s="88">
        <v>2000</v>
      </c>
      <c r="BE15" s="90">
        <v>293.32</v>
      </c>
      <c r="BF15" s="88">
        <v>2001</v>
      </c>
      <c r="BG15" s="88" t="s">
        <v>30</v>
      </c>
      <c r="BH15" s="90">
        <v>340.47</v>
      </c>
    </row>
    <row r="16" spans="1:60" ht="22.5" customHeight="1" x14ac:dyDescent="0.45">
      <c r="A16" s="29"/>
      <c r="B16" s="29"/>
      <c r="C16" s="107" t="s">
        <v>3</v>
      </c>
      <c r="D16" s="108"/>
      <c r="E16" s="108"/>
      <c r="F16" s="108"/>
      <c r="G16" s="108"/>
      <c r="H16" s="99" t="str">
        <f>IF(F6="","",FLOOR(SUM(Y6,Y8),1))</f>
        <v/>
      </c>
      <c r="I16" s="99"/>
      <c r="J16" s="99"/>
      <c r="K16" s="57" t="s">
        <v>46</v>
      </c>
      <c r="L16" s="58"/>
      <c r="M16" s="58"/>
      <c r="N16" s="59"/>
      <c r="O16" s="75"/>
      <c r="P16" s="29"/>
      <c r="Q16" s="49" t="s">
        <v>28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88" t="s">
        <v>1</v>
      </c>
      <c r="AM16" s="91" t="s">
        <v>31</v>
      </c>
      <c r="AN16" s="91" t="s">
        <v>31</v>
      </c>
      <c r="AO16" s="91" t="s">
        <v>31</v>
      </c>
      <c r="AP16" s="91" t="s">
        <v>31</v>
      </c>
      <c r="AQ16" s="91" t="s">
        <v>31</v>
      </c>
      <c r="AR16" s="91" t="s">
        <v>31</v>
      </c>
      <c r="AS16" s="91" t="s">
        <v>31</v>
      </c>
      <c r="AT16" s="91" t="s">
        <v>31</v>
      </c>
      <c r="AU16" s="91" t="s">
        <v>31</v>
      </c>
      <c r="AV16" s="91" t="s">
        <v>31</v>
      </c>
      <c r="AW16" s="91" t="s">
        <v>31</v>
      </c>
      <c r="AX16" s="91" t="s">
        <v>31</v>
      </c>
      <c r="AY16" s="91" t="s">
        <v>31</v>
      </c>
      <c r="AZ16" s="91" t="s">
        <v>31</v>
      </c>
      <c r="BA16" s="91" t="s">
        <v>31</v>
      </c>
      <c r="BB16" s="91" t="s">
        <v>31</v>
      </c>
      <c r="BC16" s="91" t="s">
        <v>31</v>
      </c>
      <c r="BD16" s="91" t="s">
        <v>31</v>
      </c>
      <c r="BE16" s="91" t="s">
        <v>31</v>
      </c>
      <c r="BF16" s="91" t="s">
        <v>31</v>
      </c>
      <c r="BG16" s="91" t="s">
        <v>31</v>
      </c>
      <c r="BH16" s="91" t="s">
        <v>31</v>
      </c>
    </row>
    <row r="17" spans="1:60" ht="22.5" customHeight="1" x14ac:dyDescent="0.15">
      <c r="A17" s="29"/>
      <c r="B17" s="29"/>
      <c r="C17" s="56"/>
      <c r="D17" s="58"/>
      <c r="E17" s="58"/>
      <c r="F17" s="58"/>
      <c r="G17" s="58"/>
      <c r="H17" s="58"/>
      <c r="I17" s="58"/>
      <c r="J17" s="58"/>
      <c r="K17" s="60"/>
      <c r="L17" s="58"/>
      <c r="M17" s="58"/>
      <c r="N17" s="59"/>
      <c r="O17" s="75"/>
      <c r="P17" s="29"/>
      <c r="Q17" s="8"/>
      <c r="R17" s="8"/>
      <c r="S17" s="8"/>
      <c r="T17" s="9"/>
      <c r="U17" s="8"/>
      <c r="V17" s="9"/>
      <c r="W17" s="8"/>
      <c r="X17" s="8"/>
      <c r="Y17" s="10"/>
      <c r="Z17" s="8"/>
      <c r="AA17" s="8"/>
      <c r="AB17" s="11"/>
      <c r="AC17" s="8"/>
      <c r="AD17" s="29"/>
      <c r="AE17" s="29"/>
      <c r="AF17" s="29"/>
      <c r="AG17" s="29"/>
      <c r="AH17" s="29"/>
      <c r="AI17" s="29"/>
      <c r="AJ17" s="29"/>
      <c r="AK17" s="29"/>
      <c r="AL17" s="88"/>
      <c r="AM17" s="89"/>
      <c r="AN17" s="88"/>
      <c r="AO17" s="88"/>
      <c r="AP17" s="90"/>
      <c r="AQ17" s="88"/>
      <c r="AR17" s="88"/>
      <c r="AS17" s="90"/>
      <c r="AT17" s="88"/>
      <c r="AU17" s="88"/>
      <c r="AV17" s="90"/>
      <c r="AW17" s="88"/>
      <c r="AX17" s="88"/>
      <c r="AY17" s="90"/>
      <c r="AZ17" s="88"/>
      <c r="BA17" s="88"/>
      <c r="BB17" s="90"/>
      <c r="BC17" s="88"/>
      <c r="BD17" s="88"/>
      <c r="BE17" s="88"/>
      <c r="BF17" s="88"/>
      <c r="BG17" s="88"/>
      <c r="BH17" s="88"/>
    </row>
    <row r="18" spans="1:60" ht="22.5" customHeight="1" x14ac:dyDescent="0.15">
      <c r="A18" s="29"/>
      <c r="B18" s="50"/>
      <c r="C18" s="105" t="s">
        <v>17</v>
      </c>
      <c r="D18" s="106"/>
      <c r="E18" s="106"/>
      <c r="F18" s="106"/>
      <c r="G18" s="106"/>
      <c r="H18" s="100" t="str">
        <f>IF(L6="","",IF(L6=AL16,"",FLOOR(SUM(Y18,Y20),1)))</f>
        <v/>
      </c>
      <c r="I18" s="100"/>
      <c r="J18" s="100"/>
      <c r="K18" s="57" t="s">
        <v>46</v>
      </c>
      <c r="L18" s="58"/>
      <c r="M18" s="58"/>
      <c r="N18" s="59"/>
      <c r="O18" s="75"/>
      <c r="P18" s="29"/>
      <c r="Q18" s="37" t="s">
        <v>38</v>
      </c>
      <c r="R18" s="37"/>
      <c r="S18" s="37"/>
      <c r="T18" s="38"/>
      <c r="U18" s="37"/>
      <c r="V18" s="38"/>
      <c r="W18" s="37"/>
      <c r="X18" s="37"/>
      <c r="Y18" s="39" t="str">
        <f>IF(L6="","",IF(F11="","",VLOOKUP(L6,AL15:BH16,2,FALSE)))</f>
        <v/>
      </c>
      <c r="Z18" s="37" t="s">
        <v>4</v>
      </c>
      <c r="AA18" s="8"/>
      <c r="AB18" s="11"/>
      <c r="AC18" s="8"/>
      <c r="AD18" s="29"/>
      <c r="AE18" s="29"/>
      <c r="AF18" s="29"/>
      <c r="AG18" s="29"/>
      <c r="AH18" s="29"/>
      <c r="AI18" s="29"/>
      <c r="AJ18" s="29"/>
      <c r="AK18" s="29"/>
      <c r="AL18" s="88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</row>
    <row r="19" spans="1:60" ht="22.5" customHeight="1" x14ac:dyDescent="0.15">
      <c r="A19" s="29"/>
      <c r="B19" s="29"/>
      <c r="C19" s="56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1"/>
      <c r="O19" s="75"/>
      <c r="P19" s="29"/>
      <c r="Q19" s="40"/>
      <c r="R19" s="40"/>
      <c r="S19" s="40"/>
      <c r="T19" s="41"/>
      <c r="U19" s="40"/>
      <c r="V19" s="41"/>
      <c r="W19" s="40"/>
      <c r="X19" s="40"/>
      <c r="Y19" s="42"/>
      <c r="Z19" s="40"/>
      <c r="AA19" s="8"/>
      <c r="AB19" s="11"/>
      <c r="AC19" s="8"/>
      <c r="AD19" s="29"/>
      <c r="AE19" s="29"/>
      <c r="AF19" s="29"/>
      <c r="AG19" s="29"/>
      <c r="AH19" s="29"/>
      <c r="AI19" s="29"/>
      <c r="AJ19" s="29"/>
      <c r="AK19" s="29"/>
      <c r="AL19" s="88"/>
      <c r="AM19" s="89"/>
      <c r="AN19" s="88"/>
      <c r="AO19" s="88"/>
      <c r="AP19" s="90"/>
      <c r="AQ19" s="88"/>
      <c r="AR19" s="88"/>
      <c r="AS19" s="90"/>
      <c r="AT19" s="88"/>
      <c r="AU19" s="88"/>
      <c r="AV19" s="90"/>
      <c r="AW19" s="88"/>
      <c r="AX19" s="88"/>
      <c r="AY19" s="90"/>
      <c r="AZ19" s="88"/>
      <c r="BA19" s="88"/>
      <c r="BB19" s="90"/>
      <c r="BC19" s="88"/>
      <c r="BD19" s="88"/>
      <c r="BE19" s="88"/>
      <c r="BF19" s="88"/>
      <c r="BG19" s="88"/>
      <c r="BH19" s="88"/>
    </row>
    <row r="20" spans="1:60" ht="22.5" customHeight="1" x14ac:dyDescent="0.15">
      <c r="A20" s="29"/>
      <c r="B20" s="29"/>
      <c r="C20" s="56"/>
      <c r="D20" s="58"/>
      <c r="E20" s="103" t="s">
        <v>45</v>
      </c>
      <c r="F20" s="103"/>
      <c r="G20" s="103"/>
      <c r="H20" s="104">
        <f>SUM(H16,H18)</f>
        <v>0</v>
      </c>
      <c r="I20" s="104"/>
      <c r="J20" s="104"/>
      <c r="K20" s="62"/>
      <c r="L20" s="58"/>
      <c r="M20" s="58"/>
      <c r="N20" s="59"/>
      <c r="O20" s="75"/>
      <c r="P20" s="29"/>
      <c r="Q20" s="37" t="s">
        <v>39</v>
      </c>
      <c r="R20" s="37"/>
      <c r="S20" s="37"/>
      <c r="T20" s="38"/>
      <c r="U20" s="37"/>
      <c r="V20" s="38"/>
      <c r="W20" s="37"/>
      <c r="X20" s="37"/>
      <c r="Y20" s="39" t="str">
        <f>IF(L6="","",IF(L6=AL16,"",SUM(Y22:Y28)))</f>
        <v/>
      </c>
      <c r="Z20" s="37" t="s">
        <v>4</v>
      </c>
      <c r="AA20" s="8"/>
      <c r="AB20" s="93" t="s">
        <v>34</v>
      </c>
      <c r="AC20" s="93"/>
      <c r="AD20" s="29"/>
      <c r="AE20" s="29"/>
      <c r="AF20" s="29"/>
      <c r="AG20" s="29"/>
      <c r="AH20" s="29"/>
      <c r="AI20" s="29"/>
      <c r="AJ20" s="29"/>
      <c r="AK20" s="29"/>
      <c r="AL20" s="88"/>
      <c r="AM20" s="89"/>
      <c r="AN20" s="88"/>
      <c r="AO20" s="88"/>
      <c r="AP20" s="90"/>
      <c r="AQ20" s="88"/>
      <c r="AR20" s="88"/>
      <c r="AS20" s="90"/>
      <c r="AT20" s="88"/>
      <c r="AU20" s="88"/>
      <c r="AV20" s="90"/>
      <c r="AW20" s="88"/>
      <c r="AX20" s="88"/>
      <c r="AY20" s="90"/>
      <c r="AZ20" s="88"/>
      <c r="BA20" s="88"/>
      <c r="BB20" s="90"/>
      <c r="BC20" s="88"/>
      <c r="BD20" s="88"/>
      <c r="BE20" s="88"/>
      <c r="BF20" s="88"/>
      <c r="BG20" s="88"/>
      <c r="BH20" s="88"/>
    </row>
    <row r="21" spans="1:60" ht="22.5" customHeight="1" x14ac:dyDescent="0.4">
      <c r="A21" s="29"/>
      <c r="B21" s="29"/>
      <c r="C21" s="71" t="s">
        <v>49</v>
      </c>
      <c r="D21" s="73"/>
      <c r="E21" s="58"/>
      <c r="F21" s="63"/>
      <c r="G21" s="58"/>
      <c r="H21" s="63"/>
      <c r="I21" s="58"/>
      <c r="J21" s="58"/>
      <c r="K21" s="62"/>
      <c r="L21" s="58"/>
      <c r="M21" s="58"/>
      <c r="N21" s="59"/>
      <c r="O21" s="75"/>
      <c r="P21" s="29"/>
      <c r="Q21" s="26"/>
      <c r="R21" s="26"/>
      <c r="S21" s="26"/>
      <c r="T21" s="27"/>
      <c r="U21" s="26"/>
      <c r="V21" s="27"/>
      <c r="W21" s="26"/>
      <c r="X21" s="26"/>
      <c r="Y21" s="28"/>
      <c r="Z21" s="26"/>
      <c r="AA21" s="8"/>
      <c r="AB21" s="93"/>
      <c r="AC21" s="93"/>
      <c r="AD21" s="29"/>
      <c r="AE21" s="29"/>
      <c r="AF21" s="29"/>
      <c r="AG21" s="29"/>
      <c r="AH21" s="29"/>
      <c r="AI21" s="29"/>
      <c r="AJ21" s="29"/>
      <c r="AK21" s="29"/>
      <c r="AL21" s="88"/>
      <c r="AM21" s="89"/>
      <c r="AN21" s="88"/>
      <c r="AO21" s="88"/>
      <c r="AP21" s="90"/>
      <c r="AQ21" s="88"/>
      <c r="AR21" s="88"/>
      <c r="AS21" s="90"/>
      <c r="AT21" s="88"/>
      <c r="AU21" s="88"/>
      <c r="AV21" s="90"/>
      <c r="AW21" s="88"/>
      <c r="AX21" s="88"/>
      <c r="AY21" s="90"/>
      <c r="AZ21" s="88"/>
      <c r="BA21" s="88"/>
      <c r="BB21" s="90"/>
      <c r="BC21" s="88"/>
      <c r="BD21" s="88"/>
      <c r="BE21" s="88"/>
      <c r="BF21" s="88"/>
      <c r="BG21" s="88"/>
      <c r="BH21" s="88"/>
    </row>
    <row r="22" spans="1:60" ht="22.5" customHeight="1" x14ac:dyDescent="0.15">
      <c r="A22" s="29"/>
      <c r="B22" s="29"/>
      <c r="C22" s="68" t="s">
        <v>53</v>
      </c>
      <c r="D22" s="74"/>
      <c r="E22" s="58"/>
      <c r="F22" s="63"/>
      <c r="G22" s="58"/>
      <c r="H22" s="63"/>
      <c r="I22" s="58"/>
      <c r="J22" s="58"/>
      <c r="K22" s="62"/>
      <c r="L22" s="58"/>
      <c r="M22" s="58"/>
      <c r="N22" s="59"/>
      <c r="O22" s="75"/>
      <c r="P22" s="29"/>
      <c r="Q22" s="8"/>
      <c r="R22" s="19" t="s">
        <v>18</v>
      </c>
      <c r="S22" s="19" t="s">
        <v>11</v>
      </c>
      <c r="T22" s="20" t="str">
        <f>IF(L6="","",VLOOKUP($L$6,$AL$15:$BH$16,3,FALSE))</f>
        <v/>
      </c>
      <c r="U22" s="18" t="s">
        <v>12</v>
      </c>
      <c r="V22" s="20" t="str">
        <f>IF(L6="","",VLOOKUP($L$6,$AL$15:$BH$16,4,FALSE))</f>
        <v/>
      </c>
      <c r="W22" s="18" t="s">
        <v>13</v>
      </c>
      <c r="X22" s="18"/>
      <c r="Y22" s="21" t="str">
        <f>IF(L6="","",IF(L6=AL16,"",IF($F$11&gt;$V$22,$AB$22*($V$22),$F$11*$AB$22)))</f>
        <v/>
      </c>
      <c r="Z22" s="18" t="s">
        <v>4</v>
      </c>
      <c r="AA22" s="8"/>
      <c r="AB22" s="12" t="str">
        <f>IF(L6="","",VLOOKUP($L$6,$AL$15:$BH$16,5,FALSE))</f>
        <v/>
      </c>
      <c r="AC22" s="13" t="s">
        <v>33</v>
      </c>
      <c r="AD22" s="29"/>
      <c r="AE22" s="29"/>
      <c r="AF22" s="29"/>
      <c r="AG22" s="29"/>
      <c r="AH22" s="29"/>
      <c r="AI22" s="29"/>
      <c r="AJ22" s="29"/>
      <c r="AK22" s="29"/>
      <c r="AL22" s="88"/>
      <c r="AM22" s="89"/>
      <c r="AN22" s="88"/>
      <c r="AO22" s="88"/>
      <c r="AP22" s="90"/>
      <c r="AQ22" s="88"/>
      <c r="AR22" s="88"/>
      <c r="AS22" s="90"/>
      <c r="AT22" s="88"/>
      <c r="AU22" s="88"/>
      <c r="AV22" s="90"/>
      <c r="AW22" s="88"/>
      <c r="AX22" s="88"/>
      <c r="AY22" s="90"/>
      <c r="AZ22" s="88"/>
      <c r="BA22" s="88"/>
      <c r="BB22" s="90"/>
      <c r="BC22" s="88"/>
      <c r="BD22" s="88"/>
      <c r="BE22" s="88"/>
      <c r="BF22" s="88"/>
      <c r="BG22" s="88"/>
      <c r="BH22" s="88"/>
    </row>
    <row r="23" spans="1:60" ht="22.5" customHeight="1" x14ac:dyDescent="0.15">
      <c r="A23" s="29"/>
      <c r="B23" s="29"/>
      <c r="C23" s="68" t="s">
        <v>52</v>
      </c>
      <c r="D23" s="74"/>
      <c r="E23" s="58"/>
      <c r="F23" s="63"/>
      <c r="G23" s="58"/>
      <c r="H23" s="63"/>
      <c r="I23" s="58"/>
      <c r="J23" s="58"/>
      <c r="K23" s="62"/>
      <c r="L23" s="58"/>
      <c r="M23" s="58"/>
      <c r="N23" s="59"/>
      <c r="O23" s="75"/>
      <c r="P23" s="29"/>
      <c r="Q23" s="8"/>
      <c r="R23" s="19" t="s">
        <v>19</v>
      </c>
      <c r="S23" s="19" t="s">
        <v>11</v>
      </c>
      <c r="T23" s="20" t="str">
        <f>IF(L6="","",VLOOKUP($L$6,$AL$15:$BH$16,6,FALSE))</f>
        <v/>
      </c>
      <c r="U23" s="18" t="s">
        <v>12</v>
      </c>
      <c r="V23" s="20" t="str">
        <f>IF(L6="","",VLOOKUP($L$6,$AL$15:$BH$16,7,FALSE))</f>
        <v/>
      </c>
      <c r="W23" s="18" t="s">
        <v>13</v>
      </c>
      <c r="X23" s="18"/>
      <c r="Y23" s="21" t="str">
        <f>IF(L6="","",IF(L6=AL16,"",IF($F$11&lt;$V$22,0,IF($F$11&gt;$V$23,$AB$23*($V$23-$V$22),($F$11-V22)*$AB$23))))</f>
        <v/>
      </c>
      <c r="Z23" s="18" t="s">
        <v>4</v>
      </c>
      <c r="AA23" s="8"/>
      <c r="AB23" s="12" t="str">
        <f>IF(L6="","",VLOOKUP($L$6,$AL$15:$BH$16,8,FALSE))</f>
        <v/>
      </c>
      <c r="AC23" s="13" t="s">
        <v>33</v>
      </c>
      <c r="AD23" s="29"/>
      <c r="AE23" s="29"/>
      <c r="AF23" s="29"/>
      <c r="AG23" s="29"/>
      <c r="AH23" s="29"/>
      <c r="AI23" s="29"/>
      <c r="AJ23" s="29"/>
      <c r="AK23" s="29"/>
      <c r="AL23" s="88"/>
      <c r="AM23" s="89"/>
      <c r="AN23" s="88"/>
      <c r="AO23" s="88"/>
      <c r="AP23" s="90"/>
      <c r="AQ23" s="88"/>
      <c r="AR23" s="88"/>
      <c r="AS23" s="90"/>
      <c r="AT23" s="88"/>
      <c r="AU23" s="88"/>
      <c r="AV23" s="90"/>
      <c r="AW23" s="88"/>
      <c r="AX23" s="88"/>
      <c r="AY23" s="90"/>
      <c r="AZ23" s="88"/>
      <c r="BA23" s="88"/>
      <c r="BB23" s="90"/>
      <c r="BC23" s="88"/>
      <c r="BD23" s="88"/>
      <c r="BE23" s="88"/>
      <c r="BF23" s="88"/>
      <c r="BG23" s="88"/>
      <c r="BH23" s="88"/>
    </row>
    <row r="24" spans="1:60" ht="22.5" customHeight="1" thickBot="1" x14ac:dyDescent="0.2">
      <c r="A24" s="29"/>
      <c r="B24" s="29"/>
      <c r="C24" s="79"/>
      <c r="D24" s="64"/>
      <c r="E24" s="64"/>
      <c r="F24" s="65"/>
      <c r="G24" s="64"/>
      <c r="H24" s="65"/>
      <c r="I24" s="64"/>
      <c r="J24" s="64"/>
      <c r="K24" s="66"/>
      <c r="L24" s="64"/>
      <c r="M24" s="64"/>
      <c r="N24" s="67"/>
      <c r="O24" s="75"/>
      <c r="P24" s="29"/>
      <c r="Q24" s="8"/>
      <c r="R24" s="19" t="s">
        <v>20</v>
      </c>
      <c r="S24" s="19" t="s">
        <v>11</v>
      </c>
      <c r="T24" s="20" t="str">
        <f>IF(L6="","",VLOOKUP($L$6,$AL$15:$BH$16,9,FALSE))</f>
        <v/>
      </c>
      <c r="U24" s="18" t="s">
        <v>12</v>
      </c>
      <c r="V24" s="20" t="str">
        <f>IF(L6="","",VLOOKUP($L$6,$AL$15:$BH$16,10,FALSE))</f>
        <v/>
      </c>
      <c r="W24" s="18" t="s">
        <v>13</v>
      </c>
      <c r="X24" s="18"/>
      <c r="Y24" s="21" t="str">
        <f>IF(L6="","",IF(L6=AL16,"",IF($F$11&lt;$V23,0,IF($F$11&gt;$V24,$AB24*($V24-$V23),($F$11-V23)*$AB24))))</f>
        <v/>
      </c>
      <c r="Z24" s="18" t="s">
        <v>4</v>
      </c>
      <c r="AA24" s="8"/>
      <c r="AB24" s="12" t="str">
        <f>IF(L6="","",VLOOKUP($L$6,$AL$15:$BH$16,11,FALSE))</f>
        <v/>
      </c>
      <c r="AC24" s="13" t="s">
        <v>33</v>
      </c>
      <c r="AD24" s="29"/>
      <c r="AE24" s="29"/>
      <c r="AF24" s="29"/>
      <c r="AG24" s="29"/>
      <c r="AH24" s="29"/>
      <c r="AI24" s="29"/>
      <c r="AJ24" s="29"/>
      <c r="AK24" s="29"/>
      <c r="AL24" s="88"/>
      <c r="AM24" s="89"/>
      <c r="AN24" s="88"/>
      <c r="AO24" s="88"/>
      <c r="AP24" s="90"/>
      <c r="AQ24" s="88"/>
      <c r="AR24" s="88"/>
      <c r="AS24" s="90"/>
      <c r="AT24" s="88"/>
      <c r="AU24" s="88"/>
      <c r="AV24" s="90"/>
      <c r="AW24" s="88"/>
      <c r="AX24" s="88"/>
      <c r="AY24" s="90"/>
      <c r="AZ24" s="88"/>
      <c r="BA24" s="88"/>
      <c r="BB24" s="90"/>
      <c r="BC24" s="88"/>
      <c r="BD24" s="88"/>
      <c r="BE24" s="88"/>
      <c r="BF24" s="88"/>
      <c r="BG24" s="88"/>
      <c r="BH24" s="88"/>
    </row>
    <row r="25" spans="1:60" ht="22.5" customHeight="1" x14ac:dyDescent="0.15">
      <c r="A25" s="29"/>
      <c r="B25" s="29"/>
      <c r="C25" s="29"/>
      <c r="D25" s="75"/>
      <c r="E25" s="75"/>
      <c r="F25" s="76"/>
      <c r="G25" s="75"/>
      <c r="H25" s="76"/>
      <c r="I25" s="75"/>
      <c r="J25" s="75"/>
      <c r="K25" s="77"/>
      <c r="L25" s="75"/>
      <c r="M25" s="75"/>
      <c r="N25" s="78"/>
      <c r="O25" s="75"/>
      <c r="P25" s="29"/>
      <c r="Q25" s="8"/>
      <c r="R25" s="19" t="s">
        <v>21</v>
      </c>
      <c r="S25" s="19" t="s">
        <v>11</v>
      </c>
      <c r="T25" s="20" t="str">
        <f>IF(L6="","",VLOOKUP($L$6,$AL$15:$BH$16,12,FALSE))</f>
        <v/>
      </c>
      <c r="U25" s="18" t="s">
        <v>12</v>
      </c>
      <c r="V25" s="20" t="str">
        <f>IF(L6="","",VLOOKUP($L$6,$AL$15:$BH$16,13,FALSE))</f>
        <v/>
      </c>
      <c r="W25" s="18" t="s">
        <v>13</v>
      </c>
      <c r="X25" s="18"/>
      <c r="Y25" s="21" t="str">
        <f>IF(L6="","",IF(L6=AL16,"",IF($F$11&lt;$V24,0,IF($F$11&gt;$V25,$AB25*($V25-$V24),($F$11-V24)*$AB25))))</f>
        <v/>
      </c>
      <c r="Z25" s="18" t="s">
        <v>4</v>
      </c>
      <c r="AA25" s="8"/>
      <c r="AB25" s="12" t="str">
        <f>IF(L6="","",VLOOKUP($L$6,$AL$15:$BH$16,14,FALSE))</f>
        <v/>
      </c>
      <c r="AC25" s="13" t="s">
        <v>33</v>
      </c>
      <c r="AD25" s="29"/>
      <c r="AE25" s="29"/>
      <c r="AF25" s="29"/>
      <c r="AG25" s="29"/>
      <c r="AH25" s="29"/>
      <c r="AI25" s="29"/>
      <c r="AJ25" s="29"/>
      <c r="AK25" s="29"/>
      <c r="AL25" s="88"/>
      <c r="AM25" s="89"/>
      <c r="AN25" s="88"/>
      <c r="AO25" s="88"/>
      <c r="AP25" s="90"/>
      <c r="AQ25" s="88"/>
      <c r="AR25" s="88"/>
      <c r="AS25" s="90"/>
      <c r="AT25" s="88"/>
      <c r="AU25" s="88"/>
      <c r="AV25" s="90"/>
      <c r="AW25" s="88"/>
      <c r="AX25" s="88"/>
      <c r="AY25" s="90"/>
      <c r="AZ25" s="88"/>
      <c r="BA25" s="88"/>
      <c r="BB25" s="90"/>
      <c r="BC25" s="88"/>
      <c r="BD25" s="88"/>
      <c r="BE25" s="88"/>
      <c r="BF25" s="88"/>
      <c r="BG25" s="88"/>
      <c r="BH25" s="88"/>
    </row>
    <row r="26" spans="1:60" ht="22.5" customHeight="1" x14ac:dyDescent="0.15">
      <c r="A26" s="29"/>
      <c r="B26" s="29"/>
      <c r="C26" s="29"/>
      <c r="D26" s="29"/>
      <c r="E26" s="29"/>
      <c r="F26" s="30"/>
      <c r="G26" s="29"/>
      <c r="H26" s="30"/>
      <c r="I26" s="29"/>
      <c r="J26" s="29"/>
      <c r="K26" s="31"/>
      <c r="L26" s="29"/>
      <c r="M26" s="29"/>
      <c r="N26" s="32"/>
      <c r="O26" s="29"/>
      <c r="P26" s="29"/>
      <c r="Q26" s="8"/>
      <c r="R26" s="19" t="s">
        <v>22</v>
      </c>
      <c r="S26" s="19" t="s">
        <v>11</v>
      </c>
      <c r="T26" s="20" t="str">
        <f>IF(L6="","",VLOOKUP($L$6,$AL$15:$BH$16,15,FALSE))</f>
        <v/>
      </c>
      <c r="U26" s="18" t="s">
        <v>12</v>
      </c>
      <c r="V26" s="20" t="str">
        <f>IF(L6="","",VLOOKUP($L$6,$AL$15:$BH$16,16,FALSE))</f>
        <v/>
      </c>
      <c r="W26" s="18" t="s">
        <v>13</v>
      </c>
      <c r="X26" s="18"/>
      <c r="Y26" s="21" t="str">
        <f>IF(L6="","",IF(L6=AL16,"",IF($F$11&lt;$V25,0,IF($F$11&gt;$V26,$AB26*($V26-$V25),($F$11-V25)*$AB26))))</f>
        <v/>
      </c>
      <c r="Z26" s="18" t="s">
        <v>4</v>
      </c>
      <c r="AA26" s="8"/>
      <c r="AB26" s="12" t="str">
        <f>IF(L6="","",VLOOKUP($L$6,$AL$15:$BH$16,17,FALSE))</f>
        <v/>
      </c>
      <c r="AC26" s="13" t="s">
        <v>33</v>
      </c>
      <c r="AD26" s="29"/>
      <c r="AE26" s="29"/>
      <c r="AF26" s="29"/>
      <c r="AG26" s="29"/>
      <c r="AH26" s="29"/>
      <c r="AI26" s="29"/>
      <c r="AJ26" s="29"/>
      <c r="AK26" s="29"/>
      <c r="AL26" s="88"/>
      <c r="AM26" s="89"/>
      <c r="AN26" s="88"/>
      <c r="AO26" s="88"/>
      <c r="AP26" s="90"/>
      <c r="AQ26" s="88"/>
      <c r="AR26" s="88"/>
      <c r="AS26" s="90"/>
      <c r="AT26" s="88"/>
      <c r="AU26" s="88"/>
      <c r="AV26" s="90"/>
      <c r="AW26" s="88"/>
      <c r="AX26" s="88"/>
      <c r="AY26" s="90"/>
      <c r="AZ26" s="88"/>
      <c r="BA26" s="88"/>
      <c r="BB26" s="90"/>
      <c r="BC26" s="88"/>
      <c r="BD26" s="88"/>
      <c r="BE26" s="88"/>
      <c r="BF26" s="88"/>
      <c r="BG26" s="88"/>
      <c r="BH26" s="88"/>
    </row>
    <row r="27" spans="1:60" ht="22.5" customHeight="1" x14ac:dyDescent="0.15">
      <c r="A27" s="29"/>
      <c r="B27" s="29"/>
      <c r="C27" s="29"/>
      <c r="D27" s="29"/>
      <c r="E27" s="29"/>
      <c r="F27" s="30"/>
      <c r="G27" s="29"/>
      <c r="H27" s="30"/>
      <c r="I27" s="29"/>
      <c r="J27" s="29"/>
      <c r="K27" s="31"/>
      <c r="L27" s="29"/>
      <c r="M27" s="29"/>
      <c r="N27" s="32"/>
      <c r="O27" s="29"/>
      <c r="P27" s="29"/>
      <c r="Q27" s="8"/>
      <c r="R27" s="19" t="s">
        <v>23</v>
      </c>
      <c r="S27" s="19" t="s">
        <v>11</v>
      </c>
      <c r="T27" s="20" t="str">
        <f>IF(L6="","",VLOOKUP($L$6,$AL$15:$BH$16,18,FALSE))</f>
        <v/>
      </c>
      <c r="U27" s="18" t="s">
        <v>12</v>
      </c>
      <c r="V27" s="20" t="str">
        <f>IF(L6="","",VLOOKUP($L$6,$AL$15:$BH$16,19,FALSE))</f>
        <v/>
      </c>
      <c r="W27" s="18" t="s">
        <v>13</v>
      </c>
      <c r="X27" s="18"/>
      <c r="Y27" s="21" t="str">
        <f>IF(L6="","",IF(L6=AL16,"",IF($F$11&lt;$V26,0,IF($F$11&gt;$V27,$AB27*($V27-$V26),($F$11-V26)*$AB27))))</f>
        <v/>
      </c>
      <c r="Z27" s="18" t="s">
        <v>4</v>
      </c>
      <c r="AA27" s="8"/>
      <c r="AB27" s="12" t="str">
        <f>IF(L6="","",VLOOKUP($L$6,$AL$15:$BH$16,20,FALSE))</f>
        <v/>
      </c>
      <c r="AC27" s="13" t="s">
        <v>33</v>
      </c>
      <c r="AD27" s="29"/>
      <c r="AE27" s="29"/>
      <c r="AF27" s="29"/>
      <c r="AG27" s="29"/>
      <c r="AH27" s="29"/>
      <c r="AI27" s="29"/>
      <c r="AJ27" s="29"/>
      <c r="AK27" s="29"/>
      <c r="AL27" s="88"/>
      <c r="AM27" s="89"/>
      <c r="AN27" s="88"/>
      <c r="AO27" s="88"/>
      <c r="AP27" s="90"/>
      <c r="AQ27" s="88"/>
      <c r="AR27" s="88"/>
      <c r="AS27" s="90"/>
      <c r="AT27" s="88"/>
      <c r="AU27" s="88"/>
      <c r="AV27" s="90"/>
      <c r="AW27" s="88"/>
      <c r="AX27" s="88"/>
      <c r="AY27" s="90"/>
      <c r="AZ27" s="88"/>
      <c r="BA27" s="88"/>
      <c r="BB27" s="90"/>
      <c r="BC27" s="88"/>
      <c r="BD27" s="88"/>
      <c r="BE27" s="88"/>
      <c r="BF27" s="88"/>
      <c r="BG27" s="88"/>
      <c r="BH27" s="88"/>
    </row>
    <row r="28" spans="1:60" ht="22.5" customHeight="1" x14ac:dyDescent="0.15">
      <c r="A28" s="29"/>
      <c r="B28" s="29"/>
      <c r="C28" s="29"/>
      <c r="D28" s="29"/>
      <c r="E28" s="29"/>
      <c r="F28" s="30"/>
      <c r="G28" s="29"/>
      <c r="H28" s="30"/>
      <c r="I28" s="29"/>
      <c r="J28" s="29"/>
      <c r="K28" s="31"/>
      <c r="L28" s="29"/>
      <c r="M28" s="29"/>
      <c r="N28" s="32"/>
      <c r="O28" s="29"/>
      <c r="P28" s="29"/>
      <c r="Q28" s="8"/>
      <c r="R28" s="19" t="s">
        <v>29</v>
      </c>
      <c r="S28" s="19" t="s">
        <v>11</v>
      </c>
      <c r="T28" s="20" t="str">
        <f>IF(L6="","",VLOOKUP($L$6,$AL$15:$BH$16,21,FALSE))</f>
        <v/>
      </c>
      <c r="U28" s="18" t="s">
        <v>12</v>
      </c>
      <c r="V28" s="20" t="str">
        <f>IF(L6="","",VLOOKUP($L$6,$AL$15:$BH$16,22,FALSE))</f>
        <v/>
      </c>
      <c r="W28" s="18" t="s">
        <v>13</v>
      </c>
      <c r="X28" s="18"/>
      <c r="Y28" s="21" t="str">
        <f>IF(L6="","",IF(L6=AL16,"",IF($F$11&lt;$V$27,0,($F$11-V27)*$AB$28)))</f>
        <v/>
      </c>
      <c r="Z28" s="18" t="s">
        <v>4</v>
      </c>
      <c r="AA28" s="8"/>
      <c r="AB28" s="12" t="str">
        <f>IF(L6="","",VLOOKUP($L$6,$AL$15:$BH$16,23,FALSE))</f>
        <v/>
      </c>
      <c r="AC28" s="13" t="s">
        <v>33</v>
      </c>
      <c r="AD28" s="29"/>
      <c r="AE28" s="29"/>
      <c r="AF28" s="29"/>
      <c r="AG28" s="29"/>
      <c r="AH28" s="29"/>
      <c r="AI28" s="29"/>
      <c r="AJ28" s="29"/>
      <c r="AK28" s="29"/>
      <c r="AL28" s="88"/>
      <c r="AM28" s="89"/>
      <c r="AN28" s="88"/>
      <c r="AO28" s="88"/>
      <c r="AP28" s="90"/>
      <c r="AQ28" s="88"/>
      <c r="AR28" s="88"/>
      <c r="AS28" s="90"/>
      <c r="AT28" s="88"/>
      <c r="AU28" s="88"/>
      <c r="AV28" s="90"/>
      <c r="AW28" s="88"/>
      <c r="AX28" s="88"/>
      <c r="AY28" s="90"/>
      <c r="AZ28" s="88"/>
      <c r="BA28" s="88"/>
      <c r="BB28" s="90"/>
      <c r="BC28" s="88"/>
      <c r="BD28" s="88"/>
      <c r="BE28" s="88"/>
      <c r="BF28" s="88"/>
      <c r="BG28" s="88"/>
      <c r="BH28" s="88"/>
    </row>
    <row r="29" spans="1:60" ht="10.5" customHeight="1" x14ac:dyDescent="0.15">
      <c r="A29" s="29"/>
      <c r="B29" s="29"/>
      <c r="C29" s="29"/>
      <c r="D29" s="29"/>
      <c r="E29" s="29"/>
      <c r="F29" s="30"/>
      <c r="G29" s="29"/>
      <c r="H29" s="30"/>
      <c r="I29" s="29"/>
      <c r="J29" s="29"/>
      <c r="K29" s="31"/>
      <c r="L29" s="29"/>
      <c r="M29" s="29"/>
      <c r="N29" s="32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</sheetData>
  <sheetProtection password="E798" sheet="1" objects="1" scenarios="1" selectLockedCells="1"/>
  <mergeCells count="15">
    <mergeCell ref="AB8:AC9"/>
    <mergeCell ref="AB20:AC21"/>
    <mergeCell ref="A1:AD1"/>
    <mergeCell ref="F6:G6"/>
    <mergeCell ref="L6:M6"/>
    <mergeCell ref="F11:G11"/>
    <mergeCell ref="H16:J16"/>
    <mergeCell ref="H18:J18"/>
    <mergeCell ref="C6:E6"/>
    <mergeCell ref="E20:G20"/>
    <mergeCell ref="H20:J20"/>
    <mergeCell ref="C18:G18"/>
    <mergeCell ref="C16:G16"/>
    <mergeCell ref="C13:N14"/>
    <mergeCell ref="C11:E12"/>
  </mergeCells>
  <phoneticPr fontId="1"/>
  <dataValidations count="3">
    <dataValidation type="list" showInputMessage="1" showErrorMessage="1" sqref="F6">
      <formula1>$AL$5:$AL$13</formula1>
    </dataValidation>
    <dataValidation type="whole" allowBlank="1" showInputMessage="1" showErrorMessage="1" sqref="F11">
      <formula1>0</formula1>
      <formula2>99999</formula2>
    </dataValidation>
    <dataValidation type="list" allowBlank="1" showInputMessage="1" showErrorMessage="1" sqref="L6">
      <formula1>$AL$14:$AL$16</formula1>
    </dataValidation>
  </dataValidations>
  <pageMargins left="0.59055118110236227" right="0.39370078740157483" top="0.78740157480314965" bottom="0.59055118110236227" header="0.31496062992125984" footer="0.31496062992125984"/>
  <pageSetup paperSize="9" scale="78" orientation="landscape" r:id="rId1"/>
  <colBreaks count="1" manualBreakCount="1">
    <brk id="30" max="33" man="1"/>
  </colBreaks>
  <ignoredErrors>
    <ignoredError sqref="S21:Y21 U14:X14 S22 U22 W22:X22 S20:X20 U10 U11 U12 U13 W10:X10 W11:X11 W12:X12 W13:X13 Z10:AA10 Z11:AA11 Z12:AA12 Z13:AA13 Z14:AA14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【熊本市】水道料金等シミュレーション</vt:lpstr>
      <vt:lpstr>【熊本市】水道料金等シミュレーション!Print_Area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熊本市上下水道局</dc:creator>
  <cp:lastModifiedBy>熊本市上下水道局</cp:lastModifiedBy>
  <cp:lastPrinted>2019-09-04T07:01:55Z</cp:lastPrinted>
  <dcterms:created xsi:type="dcterms:W3CDTF">2019-08-14T04:38:17Z</dcterms:created>
  <dcterms:modified xsi:type="dcterms:W3CDTF">2019-09-04T07:02:23Z</dcterms:modified>
</cp:coreProperties>
</file>